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3105" windowWidth="14805" windowHeight="5010" firstSheet="8" activeTab="28"/>
  </bookViews>
  <sheets>
    <sheet name="горводоканал (2)" sheetId="47" state="hidden" r:id="rId1"/>
    <sheet name="горводоканал" sheetId="46" state="hidden" r:id="rId2"/>
    <sheet name="ГТС 17" sheetId="45" state="hidden" r:id="rId3"/>
    <sheet name="горводоканал " sheetId="44" state="hidden" r:id="rId4"/>
    <sheet name="горводоканал 2017" sheetId="43" state="hidden" r:id="rId5"/>
    <sheet name="ГТС 2017" sheetId="42" state="hidden" r:id="rId6"/>
    <sheet name="30 лет Победы 10 2020" sheetId="33" r:id="rId7"/>
    <sheet name="расчёт на 01.01.2016" sheetId="2" state="hidden" r:id="rId8"/>
    <sheet name="30 лет Победы 41 2020" sheetId="34" r:id="rId9"/>
    <sheet name="Ленина 16 2020" sheetId="35" r:id="rId10"/>
    <sheet name="Ленина 18 2020" sheetId="36" r:id="rId11"/>
    <sheet name="Сибирская 11Б 2020" sheetId="37" r:id="rId12"/>
    <sheet name="Сибирская 15 2020" sheetId="38" r:id="rId13"/>
    <sheet name="Университетская 11 2020" sheetId="39" r:id="rId14"/>
    <sheet name="Лист1" sheetId="11" state="hidden" r:id="rId15"/>
    <sheet name="паспортный стол" sheetId="12" state="hidden" r:id="rId16"/>
    <sheet name="выполнение год" sheetId="13" state="hidden" r:id="rId17"/>
    <sheet name="выполнение год (2)" sheetId="14" state="hidden" r:id="rId18"/>
    <sheet name="содержание" sheetId="15" state="hidden" r:id="rId19"/>
    <sheet name="дератизация" sheetId="17" state="hidden" r:id="rId20"/>
    <sheet name="26 счёт" sheetId="19" state="hidden" r:id="rId21"/>
    <sheet name="зп обслуживание УУ" sheetId="21" state="hidden" r:id="rId22"/>
    <sheet name="ком ресурсы оплата" sheetId="23" state="hidden" r:id="rId23"/>
    <sheet name="90.1 выручка" sheetId="25" state="hidden" r:id="rId24"/>
    <sheet name="30 лет Победы 10 2017" sheetId="26" state="hidden" r:id="rId25"/>
    <sheet name="паспортный стол (2)" sheetId="27" state="hidden" r:id="rId26"/>
    <sheet name="управление содержание" sheetId="29" state="hidden" r:id="rId27"/>
    <sheet name="восток 2017" sheetId="40" state="hidden" r:id="rId28"/>
    <sheet name="Тихий 2" sheetId="48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Titles" localSheetId="17">'выполнение год (2)'!$1:$3</definedName>
    <definedName name="_xlnm.Print_Area" localSheetId="6">'30 лет Победы 10 2020'!$A$1:$G$135</definedName>
    <definedName name="_xlnm.Print_Area" localSheetId="8">'30 лет Победы 41 2020'!$A$1:$F$125</definedName>
    <definedName name="_xlnm.Print_Area" localSheetId="9">'Ленина 16 2020'!$A$1:$G$123</definedName>
    <definedName name="_xlnm.Print_Area" localSheetId="10">'Ленина 18 2020'!$A$1:$G$123</definedName>
    <definedName name="_xlnm.Print_Area" localSheetId="11">'Сибирская 11Б 2020'!$A$1:$F$134</definedName>
    <definedName name="_xlnm.Print_Area" localSheetId="12">'Сибирская 15 2020'!$A$1:$F$124</definedName>
    <definedName name="_xlnm.Print_Area" localSheetId="13">'Университетская 11 2020'!$A$1:$F$124</definedName>
  </definedNames>
  <calcPr calcId="144525"/>
</workbook>
</file>

<file path=xl/calcChain.xml><?xml version="1.0" encoding="utf-8"?>
<calcChain xmlns="http://schemas.openxmlformats.org/spreadsheetml/2006/main">
  <c r="F124" i="37" l="1"/>
  <c r="F23" i="48" l="1"/>
  <c r="F111" i="48"/>
  <c r="F100" i="48"/>
  <c r="F89" i="48"/>
  <c r="F78" i="48"/>
  <c r="F111" i="38"/>
  <c r="F100" i="38"/>
  <c r="F71" i="38" s="1"/>
  <c r="F89" i="38"/>
  <c r="F78" i="38"/>
  <c r="F121" i="37"/>
  <c r="F110" i="37"/>
  <c r="F99" i="37"/>
  <c r="F88" i="37"/>
  <c r="F77" i="37"/>
  <c r="F110" i="36"/>
  <c r="F70" i="36" s="1"/>
  <c r="F99" i="36"/>
  <c r="F88" i="36"/>
  <c r="F77" i="36"/>
  <c r="F110" i="35"/>
  <c r="F99" i="35"/>
  <c r="F88" i="35"/>
  <c r="F70" i="35" s="1"/>
  <c r="F77" i="35"/>
  <c r="G122" i="33"/>
  <c r="G111" i="33"/>
  <c r="G100" i="33"/>
  <c r="G98" i="33"/>
  <c r="G89" i="33"/>
  <c r="G78" i="33"/>
  <c r="F23" i="34"/>
  <c r="F71" i="34"/>
  <c r="F111" i="34"/>
  <c r="F100" i="34"/>
  <c r="F89" i="34"/>
  <c r="F78" i="34"/>
  <c r="F71" i="39"/>
  <c r="F111" i="39"/>
  <c r="F100" i="39"/>
  <c r="F89" i="39"/>
  <c r="F78" i="39"/>
  <c r="G76" i="39"/>
  <c r="G75" i="39"/>
  <c r="G76" i="34"/>
  <c r="G73" i="34"/>
  <c r="F23" i="39"/>
  <c r="F23" i="38"/>
  <c r="F23" i="37"/>
  <c r="F23" i="36"/>
  <c r="F23" i="35"/>
  <c r="G23" i="33"/>
  <c r="G15" i="33"/>
  <c r="F70" i="37" l="1"/>
  <c r="G71" i="33"/>
  <c r="F87" i="38"/>
  <c r="F71" i="48" l="1"/>
  <c r="F86" i="48" l="1"/>
  <c r="F87" i="48"/>
  <c r="F97" i="48"/>
  <c r="F108" i="48"/>
  <c r="F75" i="48"/>
  <c r="F59" i="48"/>
  <c r="F58" i="48"/>
  <c r="F57" i="48"/>
  <c r="F56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2" i="48"/>
  <c r="F26" i="48"/>
  <c r="F13" i="48"/>
  <c r="F10" i="48"/>
  <c r="F75" i="39"/>
  <c r="F86" i="39"/>
  <c r="F87" i="39"/>
  <c r="F97" i="39"/>
  <c r="F108" i="39"/>
  <c r="F59" i="39"/>
  <c r="F58" i="39"/>
  <c r="F57" i="39"/>
  <c r="F56" i="39"/>
  <c r="F54" i="39"/>
  <c r="F53" i="39"/>
  <c r="F52" i="39"/>
  <c r="F51" i="39"/>
  <c r="F50" i="39"/>
  <c r="F49" i="39"/>
  <c r="F48" i="39"/>
  <c r="F47" i="39"/>
  <c r="F46" i="39"/>
  <c r="F45" i="39"/>
  <c r="F43" i="39"/>
  <c r="F42" i="39"/>
  <c r="F41" i="39"/>
  <c r="F40" i="39"/>
  <c r="F39" i="39"/>
  <c r="F38" i="39"/>
  <c r="F37" i="39"/>
  <c r="F36" i="39"/>
  <c r="F35" i="39"/>
  <c r="F34" i="39"/>
  <c r="F32" i="39"/>
  <c r="F26" i="39"/>
  <c r="F13" i="39"/>
  <c r="F10" i="39"/>
  <c r="H32" i="39"/>
  <c r="D13" i="48"/>
  <c r="F107" i="36"/>
  <c r="F108" i="36"/>
  <c r="F96" i="36"/>
  <c r="F97" i="36"/>
  <c r="F85" i="36"/>
  <c r="F74" i="36"/>
  <c r="F75" i="36"/>
  <c r="F26" i="36"/>
  <c r="F13" i="36"/>
  <c r="F10" i="36"/>
  <c r="F86" i="35"/>
  <c r="F107" i="35"/>
  <c r="F96" i="35"/>
  <c r="F85" i="35"/>
  <c r="F74" i="35"/>
  <c r="F26" i="35"/>
  <c r="F13" i="35"/>
  <c r="F10" i="35"/>
  <c r="G119" i="33"/>
  <c r="G120" i="33"/>
  <c r="G108" i="33"/>
  <c r="G109" i="33"/>
  <c r="G97" i="33"/>
  <c r="G86" i="33"/>
  <c r="G87" i="33"/>
  <c r="G75" i="33"/>
  <c r="G76" i="33"/>
  <c r="J59" i="33"/>
  <c r="G59" i="33"/>
  <c r="G58" i="33"/>
  <c r="G57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3" i="33"/>
  <c r="G34" i="33"/>
  <c r="G56" i="33"/>
  <c r="G10" i="33"/>
  <c r="G32" i="33"/>
  <c r="G13" i="33"/>
  <c r="G11" i="33"/>
  <c r="F13" i="34"/>
  <c r="F10" i="34"/>
  <c r="F13" i="38"/>
  <c r="F10" i="38"/>
  <c r="F13" i="37"/>
  <c r="F10" i="37" l="1"/>
  <c r="F58" i="37" l="1"/>
  <c r="F32" i="37"/>
  <c r="H32" i="37" l="1"/>
  <c r="F119" i="37"/>
  <c r="F118" i="37"/>
  <c r="I32" i="39" l="1"/>
  <c r="F33" i="39"/>
  <c r="F44" i="39"/>
  <c r="F55" i="38"/>
  <c r="F26" i="38"/>
  <c r="F42" i="38"/>
  <c r="F33" i="38"/>
  <c r="F34" i="38"/>
  <c r="F35" i="38"/>
  <c r="F36" i="38"/>
  <c r="F37" i="38"/>
  <c r="F38" i="38"/>
  <c r="F39" i="38"/>
  <c r="F40" i="38"/>
  <c r="F41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6" i="38"/>
  <c r="F57" i="38"/>
  <c r="F58" i="38"/>
  <c r="F32" i="38"/>
  <c r="H32" i="38"/>
  <c r="D26" i="38"/>
  <c r="F55" i="37"/>
  <c r="F26" i="37"/>
  <c r="F42" i="37"/>
  <c r="F33" i="37"/>
  <c r="F34" i="37"/>
  <c r="F35" i="37"/>
  <c r="F36" i="37"/>
  <c r="F37" i="37"/>
  <c r="F38" i="37"/>
  <c r="F39" i="37"/>
  <c r="F40" i="37"/>
  <c r="F41" i="37"/>
  <c r="F43" i="37"/>
  <c r="F44" i="37"/>
  <c r="F45" i="37"/>
  <c r="F46" i="37"/>
  <c r="F47" i="37"/>
  <c r="F48" i="37"/>
  <c r="F49" i="37"/>
  <c r="F50" i="37"/>
  <c r="F51" i="37"/>
  <c r="F52" i="37"/>
  <c r="F53" i="37"/>
  <c r="F54" i="37"/>
  <c r="F56" i="37"/>
  <c r="F57" i="37"/>
  <c r="D42" i="37"/>
  <c r="F55" i="36"/>
  <c r="F33" i="36"/>
  <c r="F34" i="36"/>
  <c r="F35" i="36"/>
  <c r="F36" i="36"/>
  <c r="F37" i="36"/>
  <c r="F38" i="36"/>
  <c r="F39" i="36"/>
  <c r="F40" i="36"/>
  <c r="F41" i="36"/>
  <c r="F43" i="36"/>
  <c r="F44" i="36"/>
  <c r="F42" i="36" s="1"/>
  <c r="F45" i="36"/>
  <c r="F46" i="36"/>
  <c r="F47" i="36"/>
  <c r="F48" i="36"/>
  <c r="F49" i="36"/>
  <c r="F50" i="36"/>
  <c r="F51" i="36"/>
  <c r="F52" i="36"/>
  <c r="F53" i="36"/>
  <c r="F54" i="36"/>
  <c r="F56" i="36"/>
  <c r="F57" i="36"/>
  <c r="F58" i="36"/>
  <c r="F32" i="36"/>
  <c r="F32" i="35"/>
  <c r="F55" i="35"/>
  <c r="F42" i="35"/>
  <c r="F33" i="35"/>
  <c r="F34" i="35"/>
  <c r="F35" i="35"/>
  <c r="F36" i="35"/>
  <c r="F37" i="35"/>
  <c r="F38" i="35"/>
  <c r="F39" i="35"/>
  <c r="F40" i="35"/>
  <c r="F41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6" i="35"/>
  <c r="F57" i="35"/>
  <c r="F58" i="35"/>
  <c r="I32" i="35"/>
  <c r="F55" i="34"/>
  <c r="F33" i="34"/>
  <c r="F34" i="34"/>
  <c r="F35" i="34"/>
  <c r="F36" i="34"/>
  <c r="F37" i="34"/>
  <c r="F38" i="34"/>
  <c r="F39" i="34"/>
  <c r="F40" i="34"/>
  <c r="F41" i="34"/>
  <c r="F43" i="34"/>
  <c r="F42" i="34" s="1"/>
  <c r="F44" i="34"/>
  <c r="F45" i="34"/>
  <c r="F46" i="34"/>
  <c r="F47" i="34"/>
  <c r="F48" i="34"/>
  <c r="F49" i="34"/>
  <c r="F50" i="34"/>
  <c r="F51" i="34"/>
  <c r="F52" i="34"/>
  <c r="F53" i="34"/>
  <c r="F54" i="34"/>
  <c r="F56" i="34"/>
  <c r="F57" i="34"/>
  <c r="F58" i="34"/>
  <c r="F59" i="34"/>
  <c r="F32" i="34"/>
  <c r="F26" i="34" s="1"/>
  <c r="L54" i="33"/>
  <c r="L52" i="33"/>
  <c r="G26" i="33"/>
  <c r="D13" i="39"/>
  <c r="F20" i="38" l="1"/>
  <c r="F20" i="37" l="1"/>
  <c r="F20" i="36"/>
  <c r="F20" i="35"/>
  <c r="F20" i="34"/>
  <c r="M20" i="47"/>
  <c r="L20" i="47"/>
  <c r="K20" i="47"/>
  <c r="J20" i="47"/>
  <c r="C19" i="47"/>
  <c r="F19" i="47" s="1"/>
  <c r="G19" i="47" s="1"/>
  <c r="C18" i="47"/>
  <c r="C17" i="47"/>
  <c r="F17" i="47" s="1"/>
  <c r="G17" i="47" s="1"/>
  <c r="C16" i="47"/>
  <c r="F16" i="47" s="1"/>
  <c r="G16" i="47" s="1"/>
  <c r="C15" i="47"/>
  <c r="F15" i="47" s="1"/>
  <c r="G15" i="47" s="1"/>
  <c r="C14" i="47"/>
  <c r="F14" i="47" s="1"/>
  <c r="G14" i="47" s="1"/>
  <c r="C13" i="47"/>
  <c r="F13" i="47" s="1"/>
  <c r="G9" i="47"/>
  <c r="E9" i="47"/>
  <c r="C8" i="47"/>
  <c r="F8" i="47" s="1"/>
  <c r="C7" i="47"/>
  <c r="F7" i="47" s="1"/>
  <c r="C6" i="47"/>
  <c r="F6" i="47" s="1"/>
  <c r="C5" i="47"/>
  <c r="F5" i="47" s="1"/>
  <c r="C4" i="47"/>
  <c r="F4" i="47" s="1"/>
  <c r="C3" i="47"/>
  <c r="F3" i="47" s="1"/>
  <c r="C2" i="47"/>
  <c r="M20" i="46"/>
  <c r="L20" i="46"/>
  <c r="K20" i="46"/>
  <c r="J20" i="46"/>
  <c r="C19" i="46"/>
  <c r="F19" i="46" s="1"/>
  <c r="G19" i="46" s="1"/>
  <c r="C18" i="46"/>
  <c r="C17" i="46"/>
  <c r="F17" i="46" s="1"/>
  <c r="G17" i="46" s="1"/>
  <c r="C16" i="46"/>
  <c r="F16" i="46" s="1"/>
  <c r="G16" i="46" s="1"/>
  <c r="C15" i="46"/>
  <c r="F15" i="46" s="1"/>
  <c r="G15" i="46" s="1"/>
  <c r="C14" i="46"/>
  <c r="F14" i="46" s="1"/>
  <c r="G14" i="46" s="1"/>
  <c r="C13" i="46"/>
  <c r="F13" i="46" s="1"/>
  <c r="G9" i="46"/>
  <c r="E9" i="46"/>
  <c r="C8" i="46"/>
  <c r="F8" i="46" s="1"/>
  <c r="C7" i="46"/>
  <c r="F7" i="46" s="1"/>
  <c r="C6" i="46"/>
  <c r="F6" i="46" s="1"/>
  <c r="C5" i="46"/>
  <c r="F5" i="46" s="1"/>
  <c r="C4" i="46"/>
  <c r="F4" i="46" s="1"/>
  <c r="C3" i="46"/>
  <c r="F3" i="46" s="1"/>
  <c r="C2" i="46"/>
  <c r="C9" i="46" l="1"/>
  <c r="C9" i="47"/>
  <c r="F2" i="46"/>
  <c r="F2" i="47"/>
  <c r="F9" i="47" s="1"/>
  <c r="G13" i="47"/>
  <c r="D7" i="47"/>
  <c r="D5" i="47"/>
  <c r="D3" i="47"/>
  <c r="D2" i="47"/>
  <c r="D4" i="47"/>
  <c r="D6" i="47"/>
  <c r="D8" i="47"/>
  <c r="C20" i="47"/>
  <c r="D13" i="47" s="1"/>
  <c r="F18" i="47"/>
  <c r="G18" i="47" s="1"/>
  <c r="D7" i="46"/>
  <c r="D5" i="46"/>
  <c r="D3" i="46"/>
  <c r="G13" i="46"/>
  <c r="F9" i="46"/>
  <c r="D6" i="46"/>
  <c r="D4" i="46"/>
  <c r="D2" i="46"/>
  <c r="D8" i="46"/>
  <c r="C20" i="46"/>
  <c r="F18" i="46"/>
  <c r="G18" i="46" s="1"/>
  <c r="J13" i="47" l="1"/>
  <c r="M13" i="47"/>
  <c r="E13" i="47"/>
  <c r="I13" i="47" s="1"/>
  <c r="L13" i="47"/>
  <c r="H13" i="47"/>
  <c r="K13" i="47"/>
  <c r="D9" i="47"/>
  <c r="E2" i="47"/>
  <c r="G2" i="47"/>
  <c r="G5" i="47"/>
  <c r="E5" i="47"/>
  <c r="H5" i="47" s="1"/>
  <c r="G8" i="47"/>
  <c r="E8" i="47"/>
  <c r="E7" i="47"/>
  <c r="G7" i="47"/>
  <c r="D14" i="47"/>
  <c r="D19" i="47"/>
  <c r="D15" i="47"/>
  <c r="D16" i="47"/>
  <c r="G6" i="47"/>
  <c r="E6" i="47"/>
  <c r="D18" i="47"/>
  <c r="F20" i="47"/>
  <c r="D17" i="47"/>
  <c r="E4" i="47"/>
  <c r="G4" i="47"/>
  <c r="G3" i="47"/>
  <c r="E3" i="47"/>
  <c r="G20" i="47"/>
  <c r="G6" i="46"/>
  <c r="E6" i="46"/>
  <c r="H6" i="46" s="1"/>
  <c r="G20" i="46"/>
  <c r="D19" i="46"/>
  <c r="D15" i="46"/>
  <c r="D16" i="46"/>
  <c r="D9" i="46"/>
  <c r="E2" i="46"/>
  <c r="G2" i="46"/>
  <c r="G3" i="46"/>
  <c r="E3" i="46"/>
  <c r="D17" i="46"/>
  <c r="D14" i="46"/>
  <c r="D18" i="46"/>
  <c r="G5" i="46"/>
  <c r="E5" i="46"/>
  <c r="G8" i="46"/>
  <c r="E8" i="46"/>
  <c r="H8" i="46" s="1"/>
  <c r="D13" i="46"/>
  <c r="G4" i="46"/>
  <c r="E4" i="46"/>
  <c r="F20" i="46"/>
  <c r="E7" i="46"/>
  <c r="G7" i="46"/>
  <c r="H3" i="46" l="1"/>
  <c r="H2" i="46"/>
  <c r="D20" i="47"/>
  <c r="H5" i="46"/>
  <c r="H6" i="47"/>
  <c r="H8" i="47"/>
  <c r="M16" i="47"/>
  <c r="E16" i="47"/>
  <c r="I16" i="47" s="1"/>
  <c r="L16" i="47"/>
  <c r="H16" i="47"/>
  <c r="K16" i="47"/>
  <c r="J16" i="47"/>
  <c r="L18" i="47"/>
  <c r="H18" i="47"/>
  <c r="K18" i="47"/>
  <c r="J18" i="47"/>
  <c r="M18" i="47"/>
  <c r="E18" i="47"/>
  <c r="I18" i="47" s="1"/>
  <c r="L15" i="47"/>
  <c r="H15" i="47"/>
  <c r="K15" i="47"/>
  <c r="J15" i="47"/>
  <c r="M15" i="47"/>
  <c r="E15" i="47"/>
  <c r="I15" i="47" s="1"/>
  <c r="H7" i="47"/>
  <c r="H4" i="47"/>
  <c r="M19" i="47"/>
  <c r="E19" i="47"/>
  <c r="I19" i="47" s="1"/>
  <c r="L19" i="47"/>
  <c r="H19" i="47"/>
  <c r="K19" i="47"/>
  <c r="J19" i="47"/>
  <c r="H3" i="47"/>
  <c r="K17" i="47"/>
  <c r="J17" i="47"/>
  <c r="M17" i="47"/>
  <c r="E17" i="47"/>
  <c r="I17" i="47" s="1"/>
  <c r="L17" i="47"/>
  <c r="H17" i="47"/>
  <c r="L14" i="47"/>
  <c r="K14" i="47"/>
  <c r="J14" i="47"/>
  <c r="M14" i="47"/>
  <c r="E14" i="47"/>
  <c r="I14" i="47" s="1"/>
  <c r="H14" i="47"/>
  <c r="H2" i="47"/>
  <c r="M19" i="46"/>
  <c r="E19" i="46"/>
  <c r="I19" i="46" s="1"/>
  <c r="L19" i="46"/>
  <c r="H19" i="46"/>
  <c r="K19" i="46"/>
  <c r="J19" i="46"/>
  <c r="H7" i="46"/>
  <c r="J13" i="46"/>
  <c r="D20" i="46"/>
  <c r="M13" i="46"/>
  <c r="E13" i="46"/>
  <c r="I13" i="46" s="1"/>
  <c r="L13" i="46"/>
  <c r="H13" i="46"/>
  <c r="K13" i="46"/>
  <c r="L18" i="46"/>
  <c r="H18" i="46"/>
  <c r="K18" i="46"/>
  <c r="J18" i="46"/>
  <c r="M18" i="46"/>
  <c r="E18" i="46"/>
  <c r="I18" i="46" s="1"/>
  <c r="M16" i="46"/>
  <c r="E16" i="46"/>
  <c r="I16" i="46" s="1"/>
  <c r="L16" i="46"/>
  <c r="H16" i="46"/>
  <c r="K16" i="46"/>
  <c r="J16" i="46"/>
  <c r="K17" i="46"/>
  <c r="J17" i="46"/>
  <c r="M17" i="46"/>
  <c r="E17" i="46"/>
  <c r="I17" i="46" s="1"/>
  <c r="L17" i="46"/>
  <c r="H17" i="46"/>
  <c r="H4" i="46"/>
  <c r="L14" i="46"/>
  <c r="K14" i="46"/>
  <c r="J14" i="46"/>
  <c r="M14" i="46"/>
  <c r="E14" i="46"/>
  <c r="I14" i="46" s="1"/>
  <c r="H14" i="46"/>
  <c r="L15" i="46"/>
  <c r="H15" i="46"/>
  <c r="K15" i="46"/>
  <c r="J15" i="46"/>
  <c r="M15" i="46"/>
  <c r="E15" i="46"/>
  <c r="I15" i="46" s="1"/>
  <c r="H9" i="47" l="1"/>
  <c r="H9" i="46"/>
  <c r="G4" i="44"/>
  <c r="D7" i="44"/>
  <c r="H2" i="44" l="1"/>
  <c r="G9" i="44"/>
  <c r="C4" i="44"/>
  <c r="C3" i="44"/>
  <c r="C2" i="44"/>
  <c r="H14" i="45" l="1"/>
  <c r="C19" i="45"/>
  <c r="D18" i="45" s="1"/>
  <c r="G18" i="45" s="1"/>
  <c r="F18" i="45"/>
  <c r="F17" i="45"/>
  <c r="D17" i="45"/>
  <c r="G17" i="45" s="1"/>
  <c r="F16" i="45"/>
  <c r="D16" i="45"/>
  <c r="G16" i="45" s="1"/>
  <c r="F15" i="45"/>
  <c r="D15" i="45"/>
  <c r="G15" i="45" s="1"/>
  <c r="F14" i="45"/>
  <c r="D14" i="45"/>
  <c r="G14" i="45" s="1"/>
  <c r="F13" i="45"/>
  <c r="D13" i="45"/>
  <c r="G13" i="45" s="1"/>
  <c r="F12" i="45"/>
  <c r="D12" i="45"/>
  <c r="G12" i="45" s="1"/>
  <c r="M9" i="45"/>
  <c r="L9" i="45"/>
  <c r="K9" i="45"/>
  <c r="J9" i="45"/>
  <c r="C9" i="45"/>
  <c r="D8" i="45" s="1"/>
  <c r="F8" i="45"/>
  <c r="F7" i="45"/>
  <c r="F6" i="45"/>
  <c r="F5" i="45"/>
  <c r="F4" i="45"/>
  <c r="F3" i="45"/>
  <c r="F2" i="45"/>
  <c r="G18" i="44"/>
  <c r="H18" i="44" s="1"/>
  <c r="G17" i="44"/>
  <c r="H17" i="44" s="1"/>
  <c r="G16" i="44"/>
  <c r="H16" i="44" s="1"/>
  <c r="G15" i="44"/>
  <c r="H15" i="44" s="1"/>
  <c r="G14" i="44"/>
  <c r="H14" i="44" s="1"/>
  <c r="G13" i="44"/>
  <c r="H13" i="44" s="1"/>
  <c r="G12" i="44"/>
  <c r="H12" i="44" s="1"/>
  <c r="H19" i="44" s="1"/>
  <c r="F19" i="44"/>
  <c r="F13" i="44"/>
  <c r="F14" i="44"/>
  <c r="F15" i="44"/>
  <c r="F16" i="44"/>
  <c r="F17" i="44"/>
  <c r="F18" i="44"/>
  <c r="F12" i="44"/>
  <c r="C19" i="44"/>
  <c r="D18" i="44" s="1"/>
  <c r="N9" i="44"/>
  <c r="M9" i="44"/>
  <c r="L9" i="44"/>
  <c r="K9" i="44"/>
  <c r="C9" i="44"/>
  <c r="D8" i="44" s="1"/>
  <c r="M8" i="44" s="1"/>
  <c r="F8" i="44"/>
  <c r="F7" i="44"/>
  <c r="F6" i="44"/>
  <c r="F5" i="44"/>
  <c r="F4" i="44"/>
  <c r="F3" i="44"/>
  <c r="F2" i="44"/>
  <c r="H2" i="43"/>
  <c r="H20" i="43"/>
  <c r="H14" i="43"/>
  <c r="H15" i="43"/>
  <c r="H16" i="43"/>
  <c r="H17" i="43"/>
  <c r="H18" i="43"/>
  <c r="H19" i="43"/>
  <c r="H13" i="43"/>
  <c r="G19" i="43"/>
  <c r="G18" i="43"/>
  <c r="G17" i="43"/>
  <c r="G16" i="43"/>
  <c r="G15" i="43"/>
  <c r="G14" i="43"/>
  <c r="G13" i="43"/>
  <c r="H9" i="43"/>
  <c r="C9" i="43"/>
  <c r="D9" i="43"/>
  <c r="M20" i="43"/>
  <c r="L20" i="43"/>
  <c r="K20" i="43"/>
  <c r="J20" i="43"/>
  <c r="F18" i="43"/>
  <c r="F17" i="43"/>
  <c r="F16" i="43"/>
  <c r="F14" i="43"/>
  <c r="F13" i="43"/>
  <c r="C20" i="43"/>
  <c r="F8" i="43"/>
  <c r="F6" i="43"/>
  <c r="F4" i="43"/>
  <c r="F2" i="43"/>
  <c r="H15" i="42"/>
  <c r="G18" i="42"/>
  <c r="H9" i="42"/>
  <c r="E2" i="42"/>
  <c r="H2" i="42"/>
  <c r="E15" i="42"/>
  <c r="F2" i="42"/>
  <c r="F18" i="42"/>
  <c r="F15" i="42"/>
  <c r="F20" i="42" s="1"/>
  <c r="F8" i="42"/>
  <c r="F7" i="42"/>
  <c r="F6" i="42"/>
  <c r="F5" i="42"/>
  <c r="F4" i="42"/>
  <c r="F3" i="42"/>
  <c r="J2" i="40"/>
  <c r="G2" i="40"/>
  <c r="F2" i="40"/>
  <c r="C19" i="40"/>
  <c r="D17" i="40" s="1"/>
  <c r="D18" i="40"/>
  <c r="D15" i="40"/>
  <c r="D14" i="40"/>
  <c r="M9" i="40"/>
  <c r="L9" i="40"/>
  <c r="K9" i="40"/>
  <c r="J9" i="40"/>
  <c r="C9" i="40"/>
  <c r="K8" i="40"/>
  <c r="G8" i="40"/>
  <c r="F8" i="40"/>
  <c r="D8" i="40"/>
  <c r="J8" i="40" s="1"/>
  <c r="M7" i="40"/>
  <c r="J7" i="40"/>
  <c r="F7" i="40"/>
  <c r="E7" i="40"/>
  <c r="D7" i="40"/>
  <c r="L7" i="40" s="1"/>
  <c r="K6" i="40"/>
  <c r="G6" i="40"/>
  <c r="F6" i="40"/>
  <c r="D6" i="40"/>
  <c r="J6" i="40" s="1"/>
  <c r="M5" i="40"/>
  <c r="J5" i="40"/>
  <c r="F5" i="40"/>
  <c r="E5" i="40"/>
  <c r="D5" i="40"/>
  <c r="L5" i="40" s="1"/>
  <c r="K4" i="40"/>
  <c r="G4" i="40"/>
  <c r="F4" i="40"/>
  <c r="D4" i="40"/>
  <c r="J4" i="40" s="1"/>
  <c r="M3" i="40"/>
  <c r="J3" i="40"/>
  <c r="F3" i="40"/>
  <c r="E3" i="40"/>
  <c r="D3" i="40"/>
  <c r="L3" i="40" s="1"/>
  <c r="K2" i="40"/>
  <c r="F9" i="40"/>
  <c r="D2" i="40"/>
  <c r="D9" i="40" s="1"/>
  <c r="K8" i="45" l="1"/>
  <c r="E8" i="45"/>
  <c r="D3" i="45"/>
  <c r="M3" i="45" s="1"/>
  <c r="D5" i="45"/>
  <c r="M5" i="45" s="1"/>
  <c r="D2" i="45"/>
  <c r="D4" i="45"/>
  <c r="K4" i="45" s="1"/>
  <c r="D6" i="45"/>
  <c r="D7" i="45"/>
  <c r="F9" i="44"/>
  <c r="D3" i="44"/>
  <c r="K3" i="44" s="1"/>
  <c r="D5" i="44"/>
  <c r="K5" i="44" s="1"/>
  <c r="K7" i="44"/>
  <c r="D2" i="44"/>
  <c r="K2" i="44" s="1"/>
  <c r="D4" i="44"/>
  <c r="M4" i="44" s="1"/>
  <c r="D6" i="44"/>
  <c r="M6" i="44" s="1"/>
  <c r="H13" i="45"/>
  <c r="H15" i="45"/>
  <c r="H17" i="45"/>
  <c r="F19" i="45"/>
  <c r="E2" i="45"/>
  <c r="F9" i="45"/>
  <c r="G3" i="45"/>
  <c r="E4" i="45"/>
  <c r="M2" i="45"/>
  <c r="J3" i="45"/>
  <c r="G5" i="45"/>
  <c r="K3" i="45"/>
  <c r="M4" i="45"/>
  <c r="J5" i="45"/>
  <c r="H16" i="45"/>
  <c r="H18" i="45"/>
  <c r="L2" i="45"/>
  <c r="L4" i="45"/>
  <c r="L6" i="45"/>
  <c r="L8" i="45"/>
  <c r="H12" i="45"/>
  <c r="M8" i="45"/>
  <c r="J2" i="45"/>
  <c r="L3" i="45"/>
  <c r="J4" i="45"/>
  <c r="L5" i="45"/>
  <c r="J6" i="45"/>
  <c r="J8" i="45"/>
  <c r="G2" i="45"/>
  <c r="K2" i="45"/>
  <c r="E3" i="45"/>
  <c r="G4" i="45"/>
  <c r="H4" i="45" s="1"/>
  <c r="E5" i="45"/>
  <c r="I5" i="45" s="1"/>
  <c r="G6" i="45"/>
  <c r="E7" i="45"/>
  <c r="G8" i="45"/>
  <c r="D12" i="44"/>
  <c r="D13" i="44"/>
  <c r="D15" i="44"/>
  <c r="E8" i="44"/>
  <c r="N8" i="44"/>
  <c r="D16" i="44"/>
  <c r="K8" i="44"/>
  <c r="D17" i="44"/>
  <c r="G8" i="44"/>
  <c r="L8" i="44"/>
  <c r="D14" i="44"/>
  <c r="D18" i="43"/>
  <c r="D15" i="43"/>
  <c r="D16" i="43"/>
  <c r="D13" i="43"/>
  <c r="D14" i="43"/>
  <c r="D17" i="43"/>
  <c r="D19" i="43"/>
  <c r="F3" i="43"/>
  <c r="F5" i="43"/>
  <c r="F7" i="43"/>
  <c r="F15" i="43"/>
  <c r="F19" i="43"/>
  <c r="D7" i="43"/>
  <c r="F9" i="42"/>
  <c r="C20" i="42"/>
  <c r="D18" i="42" s="1"/>
  <c r="C9" i="42"/>
  <c r="H2" i="40"/>
  <c r="L2" i="40"/>
  <c r="L4" i="40"/>
  <c r="H6" i="40"/>
  <c r="L6" i="40"/>
  <c r="H8" i="40"/>
  <c r="L8" i="40"/>
  <c r="E2" i="40"/>
  <c r="I2" i="40" s="1"/>
  <c r="M2" i="40"/>
  <c r="G3" i="40"/>
  <c r="I3" i="40" s="1"/>
  <c r="K3" i="40"/>
  <c r="E4" i="40"/>
  <c r="I4" i="40" s="1"/>
  <c r="M4" i="40"/>
  <c r="G5" i="40"/>
  <c r="I5" i="40" s="1"/>
  <c r="K5" i="40"/>
  <c r="E6" i="40"/>
  <c r="I6" i="40" s="1"/>
  <c r="M6" i="40"/>
  <c r="G7" i="40"/>
  <c r="I7" i="40" s="1"/>
  <c r="K7" i="40"/>
  <c r="E8" i="40"/>
  <c r="I8" i="40" s="1"/>
  <c r="M8" i="40"/>
  <c r="D12" i="40"/>
  <c r="D16" i="40"/>
  <c r="H4" i="40"/>
  <c r="H3" i="40"/>
  <c r="H5" i="40"/>
  <c r="H7" i="40"/>
  <c r="D13" i="40"/>
  <c r="H5" i="45" l="1"/>
  <c r="M7" i="45"/>
  <c r="J7" i="45"/>
  <c r="G7" i="45"/>
  <c r="H7" i="45" s="1"/>
  <c r="H3" i="45"/>
  <c r="K6" i="45"/>
  <c r="E6" i="45"/>
  <c r="M6" i="45"/>
  <c r="L7" i="45"/>
  <c r="K7" i="45"/>
  <c r="K5" i="45"/>
  <c r="D9" i="45"/>
  <c r="N7" i="44"/>
  <c r="M7" i="44"/>
  <c r="L7" i="44"/>
  <c r="E7" i="44"/>
  <c r="G7" i="44"/>
  <c r="I7" i="44" s="1"/>
  <c r="L4" i="44"/>
  <c r="M3" i="44"/>
  <c r="L2" i="44"/>
  <c r="N2" i="44"/>
  <c r="N3" i="44"/>
  <c r="N4" i="44"/>
  <c r="E3" i="44"/>
  <c r="L3" i="44"/>
  <c r="E4" i="44"/>
  <c r="L6" i="44"/>
  <c r="E6" i="44"/>
  <c r="M5" i="44"/>
  <c r="D9" i="44"/>
  <c r="E5" i="44"/>
  <c r="N6" i="44"/>
  <c r="L5" i="44"/>
  <c r="K6" i="44"/>
  <c r="G6" i="44"/>
  <c r="N5" i="44"/>
  <c r="G5" i="44"/>
  <c r="G3" i="44"/>
  <c r="H3" i="44" s="1"/>
  <c r="I6" i="45"/>
  <c r="H6" i="45"/>
  <c r="I2" i="45"/>
  <c r="H2" i="45"/>
  <c r="I8" i="45"/>
  <c r="H8" i="45"/>
  <c r="K4" i="44"/>
  <c r="M2" i="44"/>
  <c r="G2" i="44"/>
  <c r="E2" i="44"/>
  <c r="I8" i="44"/>
  <c r="H8" i="44"/>
  <c r="H19" i="45"/>
  <c r="I4" i="45"/>
  <c r="I3" i="45"/>
  <c r="J8" i="44"/>
  <c r="J4" i="44"/>
  <c r="F9" i="43"/>
  <c r="E7" i="43"/>
  <c r="G7" i="43"/>
  <c r="M19" i="43"/>
  <c r="E19" i="43"/>
  <c r="I19" i="43" s="1"/>
  <c r="L19" i="43"/>
  <c r="K19" i="43"/>
  <c r="J19" i="43"/>
  <c r="F20" i="43"/>
  <c r="K17" i="43"/>
  <c r="J17" i="43"/>
  <c r="M17" i="43"/>
  <c r="E17" i="43"/>
  <c r="I17" i="43" s="1"/>
  <c r="L17" i="43"/>
  <c r="D8" i="43"/>
  <c r="D6" i="43"/>
  <c r="D4" i="43"/>
  <c r="D2" i="43"/>
  <c r="L14" i="43"/>
  <c r="K14" i="43"/>
  <c r="J14" i="43"/>
  <c r="M14" i="43"/>
  <c r="E14" i="43"/>
  <c r="I14" i="43" s="1"/>
  <c r="D3" i="43"/>
  <c r="L18" i="43"/>
  <c r="K18" i="43"/>
  <c r="J18" i="43"/>
  <c r="M18" i="43"/>
  <c r="E18" i="43"/>
  <c r="I18" i="43" s="1"/>
  <c r="J16" i="43"/>
  <c r="M16" i="43"/>
  <c r="E16" i="43"/>
  <c r="I16" i="43" s="1"/>
  <c r="L16" i="43"/>
  <c r="K16" i="43"/>
  <c r="K13" i="43"/>
  <c r="J13" i="43"/>
  <c r="D20" i="43"/>
  <c r="M13" i="43"/>
  <c r="E13" i="43"/>
  <c r="I13" i="43" s="1"/>
  <c r="L13" i="43"/>
  <c r="M15" i="43"/>
  <c r="E15" i="43"/>
  <c r="I15" i="43" s="1"/>
  <c r="L15" i="43"/>
  <c r="K15" i="43"/>
  <c r="J15" i="43"/>
  <c r="D5" i="43"/>
  <c r="E18" i="42"/>
  <c r="H18" i="42"/>
  <c r="D7" i="42"/>
  <c r="D5" i="42"/>
  <c r="D3" i="42"/>
  <c r="D8" i="42"/>
  <c r="D6" i="42"/>
  <c r="D4" i="42"/>
  <c r="D2" i="42"/>
  <c r="D15" i="42"/>
  <c r="D19" i="42"/>
  <c r="H19" i="42" s="1"/>
  <c r="D17" i="42"/>
  <c r="H17" i="42" s="1"/>
  <c r="D13" i="42"/>
  <c r="D16" i="42"/>
  <c r="H16" i="42" s="1"/>
  <c r="D14" i="42"/>
  <c r="H14" i="42" s="1"/>
  <c r="H7" i="44" l="1"/>
  <c r="J7" i="44"/>
  <c r="I7" i="45"/>
  <c r="I3" i="44"/>
  <c r="J6" i="44"/>
  <c r="J3" i="44"/>
  <c r="I6" i="44"/>
  <c r="H6" i="44"/>
  <c r="I5" i="44"/>
  <c r="I4" i="44"/>
  <c r="J5" i="44"/>
  <c r="H5" i="44"/>
  <c r="H4" i="44"/>
  <c r="J2" i="44"/>
  <c r="H9" i="45"/>
  <c r="I2" i="44"/>
  <c r="H7" i="43"/>
  <c r="G2" i="43"/>
  <c r="E2" i="43"/>
  <c r="E5" i="43"/>
  <c r="G5" i="43"/>
  <c r="E3" i="43"/>
  <c r="G3" i="43"/>
  <c r="G4" i="43"/>
  <c r="E4" i="43"/>
  <c r="G8" i="43"/>
  <c r="E8" i="43"/>
  <c r="G6" i="43"/>
  <c r="E6" i="43"/>
  <c r="E4" i="42"/>
  <c r="E5" i="42"/>
  <c r="E6" i="42"/>
  <c r="E7" i="42"/>
  <c r="G15" i="42"/>
  <c r="E8" i="42"/>
  <c r="H13" i="42"/>
  <c r="D20" i="42"/>
  <c r="D9" i="42"/>
  <c r="E3" i="42"/>
  <c r="I9" i="44" l="1"/>
  <c r="H9" i="44"/>
  <c r="H5" i="43"/>
  <c r="H8" i="43"/>
  <c r="H3" i="43"/>
  <c r="H6" i="43"/>
  <c r="H4" i="43"/>
  <c r="G5" i="42"/>
  <c r="H5" i="42" s="1"/>
  <c r="G8" i="42" l="1"/>
  <c r="H8" i="42" s="1"/>
  <c r="G2" i="42"/>
  <c r="G6" i="42"/>
  <c r="H6" i="42" s="1"/>
  <c r="G7" i="42"/>
  <c r="H7" i="42" s="1"/>
  <c r="G4" i="42"/>
  <c r="H4" i="42" s="1"/>
  <c r="G3" i="42"/>
  <c r="H3" i="42" s="1"/>
  <c r="E5" i="2" l="1"/>
  <c r="E23" i="2"/>
  <c r="E19" i="2"/>
  <c r="G70" i="33" l="1"/>
  <c r="G69" i="33"/>
  <c r="G20" i="33"/>
  <c r="D6" i="2" l="1"/>
  <c r="C6" i="2"/>
  <c r="C40" i="2" l="1"/>
  <c r="D3" i="2"/>
  <c r="F2" i="29"/>
  <c r="F16" i="29" l="1"/>
  <c r="F8" i="29"/>
  <c r="H40" i="2" l="1"/>
  <c r="B57" i="2"/>
  <c r="B56" i="2"/>
  <c r="B55" i="2"/>
  <c r="B52" i="2" l="1"/>
  <c r="B54" i="2"/>
  <c r="B53" i="2"/>
  <c r="B58" i="2"/>
  <c r="D41" i="2"/>
  <c r="D42" i="2"/>
  <c r="D43" i="2"/>
  <c r="D44" i="2"/>
  <c r="D45" i="2"/>
  <c r="D46" i="2"/>
  <c r="D40" i="2"/>
  <c r="B46" i="2"/>
  <c r="C46" i="2" s="1"/>
  <c r="C45" i="2"/>
  <c r="C44" i="2"/>
  <c r="C43" i="2"/>
  <c r="C42" i="2"/>
  <c r="B42" i="2"/>
  <c r="B47" i="2" s="1"/>
  <c r="C41" i="2"/>
  <c r="C47" i="2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E7" i="29"/>
  <c r="G6" i="29"/>
  <c r="G5" i="29"/>
  <c r="G4" i="29"/>
  <c r="F18" i="29"/>
  <c r="L16" i="29"/>
  <c r="L15" i="29"/>
  <c r="L14" i="29"/>
  <c r="K16" i="29"/>
  <c r="K15" i="29"/>
  <c r="K14" i="29"/>
  <c r="G3" i="29"/>
  <c r="G2" i="29"/>
  <c r="G20" i="29" l="1"/>
  <c r="B59" i="2"/>
  <c r="E42" i="2"/>
  <c r="F42" i="2" s="1"/>
  <c r="E46" i="2"/>
  <c r="F46" i="2" s="1"/>
  <c r="E19" i="29"/>
  <c r="E18" i="29"/>
  <c r="E17" i="29"/>
  <c r="E16" i="29"/>
  <c r="E15" i="29"/>
  <c r="E14" i="29"/>
  <c r="E13" i="29"/>
  <c r="E12" i="29"/>
  <c r="E11" i="29"/>
  <c r="E10" i="29"/>
  <c r="E9" i="29"/>
  <c r="E8" i="29"/>
  <c r="E6" i="29"/>
  <c r="E5" i="29"/>
  <c r="E4" i="29"/>
  <c r="H18" i="29"/>
  <c r="D18" i="29" l="1"/>
  <c r="H16" i="29"/>
  <c r="D16" i="29"/>
  <c r="H14" i="29"/>
  <c r="D14" i="29"/>
  <c r="H12" i="29"/>
  <c r="D12" i="29"/>
  <c r="H10" i="29"/>
  <c r="D10" i="29"/>
  <c r="H8" i="29"/>
  <c r="D8" i="29"/>
  <c r="D7" i="29"/>
  <c r="D6" i="29"/>
  <c r="D4" i="29"/>
  <c r="E3" i="29"/>
  <c r="E2" i="29"/>
  <c r="H2" i="29"/>
  <c r="D2" i="29"/>
  <c r="D20" i="29" s="1"/>
  <c r="D8" i="27" l="1"/>
  <c r="D7" i="27"/>
  <c r="D6" i="27"/>
  <c r="D5" i="27"/>
  <c r="D4" i="27"/>
  <c r="D3" i="27"/>
  <c r="B36" i="2"/>
  <c r="B33" i="2"/>
  <c r="B35" i="2"/>
  <c r="B29" i="2"/>
  <c r="D9" i="27" l="1"/>
  <c r="E2" i="27" s="1"/>
  <c r="F2" i="27" s="1"/>
  <c r="B24" i="2"/>
  <c r="C20" i="2" s="1"/>
  <c r="D20" i="2" s="1"/>
  <c r="B23" i="2"/>
  <c r="C23" i="2" s="1"/>
  <c r="D23" i="2" s="1"/>
  <c r="B19" i="2"/>
  <c r="C19" i="2" s="1"/>
  <c r="D19" i="2" s="1"/>
  <c r="E5" i="27" l="1"/>
  <c r="F5" i="27" s="1"/>
  <c r="G5" i="27" s="1"/>
  <c r="E8" i="27"/>
  <c r="F8" i="27" s="1"/>
  <c r="G8" i="27" s="1"/>
  <c r="E4" i="27"/>
  <c r="F4" i="27" s="1"/>
  <c r="G4" i="27" s="1"/>
  <c r="E6" i="27"/>
  <c r="F6" i="27" s="1"/>
  <c r="G6" i="27" s="1"/>
  <c r="E3" i="27"/>
  <c r="F3" i="27" s="1"/>
  <c r="G3" i="27" s="1"/>
  <c r="E7" i="27"/>
  <c r="F7" i="27" s="1"/>
  <c r="G7" i="27" s="1"/>
  <c r="E20" i="29"/>
  <c r="G2" i="27"/>
  <c r="C22" i="2"/>
  <c r="D22" i="2" s="1"/>
  <c r="C18" i="2"/>
  <c r="D18" i="2" s="1"/>
  <c r="C21" i="2"/>
  <c r="D21" i="2" s="1"/>
  <c r="C17" i="2"/>
  <c r="F19" i="2"/>
  <c r="F23" i="2"/>
  <c r="E91" i="26"/>
  <c r="E88" i="26"/>
  <c r="E87" i="26"/>
  <c r="E80" i="26"/>
  <c r="E77" i="26"/>
  <c r="E76" i="26"/>
  <c r="E69" i="26"/>
  <c r="E66" i="26"/>
  <c r="E65" i="26"/>
  <c r="E58" i="26"/>
  <c r="G47" i="26" s="1"/>
  <c r="E55" i="26"/>
  <c r="E54" i="26"/>
  <c r="G50" i="26"/>
  <c r="G49" i="26"/>
  <c r="G48" i="26"/>
  <c r="E47" i="26"/>
  <c r="G46" i="26" s="1"/>
  <c r="E44" i="26"/>
  <c r="E43" i="26"/>
  <c r="H42" i="26"/>
  <c r="H41" i="26"/>
  <c r="E39" i="26"/>
  <c r="E37" i="26"/>
  <c r="E36" i="26"/>
  <c r="E34" i="26" s="1"/>
  <c r="E14" i="26"/>
  <c r="E13" i="26"/>
  <c r="E10" i="26"/>
  <c r="C5" i="23"/>
  <c r="F47" i="26" l="1"/>
  <c r="F9" i="27"/>
  <c r="D10" i="27" s="1"/>
  <c r="G9" i="27"/>
  <c r="E9" i="27"/>
  <c r="G51" i="26"/>
  <c r="H50" i="26" s="1"/>
  <c r="C24" i="2"/>
  <c r="D17" i="2"/>
  <c r="E11" i="26"/>
  <c r="H47" i="26"/>
  <c r="H46" i="26"/>
  <c r="H49" i="26"/>
  <c r="E90" i="26"/>
  <c r="H48" i="26"/>
  <c r="E57" i="26" l="1"/>
  <c r="E79" i="26"/>
  <c r="E68" i="26"/>
  <c r="E46" i="26"/>
  <c r="H51" i="26"/>
  <c r="F75" i="14"/>
  <c r="R3" i="14"/>
  <c r="P3" i="14"/>
  <c r="N3" i="14"/>
  <c r="L3" i="14"/>
  <c r="H3" i="14"/>
  <c r="J3" i="14"/>
  <c r="O2" i="14"/>
  <c r="G121" i="14"/>
  <c r="G120" i="14"/>
  <c r="G119" i="14"/>
  <c r="G21" i="14"/>
  <c r="F35" i="14"/>
  <c r="F70" i="14"/>
  <c r="F58" i="14"/>
  <c r="F55" i="14"/>
  <c r="F31" i="14"/>
  <c r="F26" i="14"/>
  <c r="F10" i="14"/>
  <c r="F5" i="14"/>
  <c r="E65" i="14"/>
  <c r="E103" i="14"/>
  <c r="E99" i="14"/>
  <c r="E95" i="14"/>
  <c r="E91" i="14"/>
  <c r="E85" i="14"/>
  <c r="E80" i="14"/>
  <c r="E75" i="14"/>
  <c r="E70" i="14"/>
  <c r="E58" i="14"/>
  <c r="E55" i="14"/>
  <c r="E52" i="14"/>
  <c r="E49" i="14"/>
  <c r="E39" i="14"/>
  <c r="E35" i="14"/>
  <c r="E31" i="14"/>
  <c r="E26" i="14"/>
  <c r="E24" i="14"/>
  <c r="E21" i="14"/>
  <c r="E17" i="14"/>
  <c r="E10" i="14"/>
  <c r="E5" i="14"/>
  <c r="E2" i="14"/>
  <c r="F3" i="14" s="1"/>
  <c r="I41" i="26" l="1"/>
  <c r="E122" i="14"/>
  <c r="G5" i="14"/>
  <c r="G85" i="14"/>
  <c r="G65" i="14"/>
  <c r="G26" i="14"/>
  <c r="G10" i="14"/>
  <c r="G91" i="14"/>
  <c r="G70" i="14"/>
  <c r="G52" i="14"/>
  <c r="G95" i="14"/>
  <c r="G17" i="14"/>
  <c r="G103" i="14"/>
  <c r="G80" i="14"/>
  <c r="G58" i="14"/>
  <c r="G35" i="14"/>
  <c r="G24" i="14"/>
  <c r="G99" i="14"/>
  <c r="G75" i="14"/>
  <c r="G55" i="14"/>
  <c r="G31" i="14"/>
  <c r="G39" i="14" l="1"/>
  <c r="G122" i="14" s="1"/>
  <c r="G49" i="14"/>
  <c r="H5" i="14" l="1"/>
  <c r="J5" i="14"/>
  <c r="L5" i="14"/>
  <c r="N5" i="14"/>
  <c r="P5" i="14"/>
  <c r="R5" i="14"/>
  <c r="E10" i="23" l="1"/>
  <c r="L7" i="23"/>
  <c r="L6" i="23"/>
  <c r="I6" i="23"/>
  <c r="U4" i="23"/>
  <c r="O4" i="23"/>
  <c r="O5" i="23" s="1"/>
  <c r="O7" i="23" s="1"/>
  <c r="R3" i="23"/>
  <c r="O3" i="23"/>
  <c r="I3" i="23"/>
  <c r="T13" i="23"/>
  <c r="T12" i="23"/>
  <c r="T11" i="23"/>
  <c r="T10" i="23"/>
  <c r="T9" i="23"/>
  <c r="U5" i="23"/>
  <c r="U7" i="23" s="1"/>
  <c r="Q13" i="23"/>
  <c r="Q12" i="23"/>
  <c r="Q11" i="23"/>
  <c r="Q10" i="23"/>
  <c r="Q9" i="23"/>
  <c r="R5" i="23"/>
  <c r="R7" i="23" s="1"/>
  <c r="N13" i="23"/>
  <c r="N12" i="23"/>
  <c r="N11" i="23"/>
  <c r="N10" i="23"/>
  <c r="N9" i="23"/>
  <c r="K13" i="23"/>
  <c r="K12" i="23"/>
  <c r="K11" i="23"/>
  <c r="K10" i="23"/>
  <c r="K9" i="23"/>
  <c r="L5" i="23"/>
  <c r="H13" i="23"/>
  <c r="H12" i="23"/>
  <c r="H11" i="23"/>
  <c r="H10" i="23"/>
  <c r="H9" i="23"/>
  <c r="I5" i="23"/>
  <c r="I7" i="23" s="1"/>
  <c r="F7" i="23"/>
  <c r="F6" i="23"/>
  <c r="F5" i="23"/>
  <c r="E13" i="23"/>
  <c r="E12" i="23"/>
  <c r="E11" i="23"/>
  <c r="E9" i="23"/>
  <c r="Q14" i="23" l="1"/>
  <c r="E14" i="23"/>
  <c r="U6" i="23"/>
  <c r="R6" i="23"/>
  <c r="O6" i="23"/>
  <c r="T14" i="23"/>
  <c r="N14" i="23"/>
  <c r="K14" i="23"/>
  <c r="H14" i="23"/>
  <c r="H20" i="23" l="1"/>
  <c r="E20" i="23"/>
  <c r="C17" i="23"/>
  <c r="C28" i="23"/>
  <c r="C27" i="23"/>
  <c r="C26" i="23"/>
  <c r="C25" i="23"/>
  <c r="C24" i="23"/>
  <c r="C23" i="23"/>
  <c r="C22" i="23"/>
  <c r="B13" i="23"/>
  <c r="B12" i="23"/>
  <c r="B11" i="23"/>
  <c r="B10" i="23"/>
  <c r="B9" i="23"/>
  <c r="C7" i="23"/>
  <c r="C6" i="23"/>
  <c r="C3" i="23"/>
  <c r="B14" i="23" l="1"/>
  <c r="C12" i="23" s="1"/>
  <c r="D12" i="23" s="1"/>
  <c r="C30" i="23"/>
  <c r="D23" i="23" s="1"/>
  <c r="C10" i="23" l="1"/>
  <c r="D10" i="23" s="1"/>
  <c r="E56" i="26"/>
  <c r="C13" i="23"/>
  <c r="D13" i="23" s="1"/>
  <c r="U10" i="23"/>
  <c r="V10" i="23" s="1"/>
  <c r="R13" i="23"/>
  <c r="S13" i="23" s="1"/>
  <c r="L10" i="23"/>
  <c r="M10" i="23" s="1"/>
  <c r="I10" i="23"/>
  <c r="J10" i="23" s="1"/>
  <c r="F11" i="23"/>
  <c r="G11" i="23" s="1"/>
  <c r="O10" i="23"/>
  <c r="P10" i="23" s="1"/>
  <c r="L12" i="23"/>
  <c r="M12" i="23" s="1"/>
  <c r="I12" i="23"/>
  <c r="J12" i="23" s="1"/>
  <c r="R12" i="23"/>
  <c r="S12" i="23" s="1"/>
  <c r="R9" i="23"/>
  <c r="O12" i="23"/>
  <c r="P12" i="23" s="1"/>
  <c r="F10" i="23"/>
  <c r="G10" i="23" s="1"/>
  <c r="F13" i="23"/>
  <c r="G13" i="23" s="1"/>
  <c r="U12" i="23"/>
  <c r="V12" i="23" s="1"/>
  <c r="R10" i="23"/>
  <c r="S10" i="23" s="1"/>
  <c r="L13" i="23"/>
  <c r="M13" i="23" s="1"/>
  <c r="F9" i="23"/>
  <c r="O9" i="23"/>
  <c r="I9" i="23"/>
  <c r="U13" i="23"/>
  <c r="V13" i="23" s="1"/>
  <c r="O11" i="23"/>
  <c r="P11" i="23" s="1"/>
  <c r="F12" i="23"/>
  <c r="G12" i="23" s="1"/>
  <c r="U11" i="23"/>
  <c r="V11" i="23" s="1"/>
  <c r="L9" i="23"/>
  <c r="R11" i="23"/>
  <c r="S11" i="23" s="1"/>
  <c r="I11" i="23"/>
  <c r="J11" i="23" s="1"/>
  <c r="U9" i="23"/>
  <c r="O13" i="23"/>
  <c r="P13" i="23" s="1"/>
  <c r="I13" i="23"/>
  <c r="J13" i="23" s="1"/>
  <c r="L11" i="23"/>
  <c r="M11" i="23" s="1"/>
  <c r="C11" i="23"/>
  <c r="D11" i="23" s="1"/>
  <c r="C9" i="23"/>
  <c r="D9" i="23" s="1"/>
  <c r="J23" i="23"/>
  <c r="F23" i="23"/>
  <c r="G23" i="23"/>
  <c r="E23" i="23"/>
  <c r="I23" i="23"/>
  <c r="H23" i="23"/>
  <c r="D24" i="23"/>
  <c r="D25" i="23"/>
  <c r="D27" i="23"/>
  <c r="D22" i="23"/>
  <c r="D26" i="23"/>
  <c r="D28" i="23"/>
  <c r="E45" i="26" l="1"/>
  <c r="E78" i="26"/>
  <c r="E89" i="26"/>
  <c r="E67" i="26"/>
  <c r="P9" i="23"/>
  <c r="O14" i="23"/>
  <c r="S9" i="23"/>
  <c r="R14" i="23"/>
  <c r="G9" i="23"/>
  <c r="F14" i="23"/>
  <c r="M9" i="23"/>
  <c r="L14" i="23"/>
  <c r="C14" i="23"/>
  <c r="V9" i="23"/>
  <c r="U14" i="23"/>
  <c r="J9" i="23"/>
  <c r="I14" i="23"/>
  <c r="E22" i="23"/>
  <c r="I22" i="23"/>
  <c r="H22" i="23"/>
  <c r="J22" i="23"/>
  <c r="F22" i="23"/>
  <c r="G22" i="23"/>
  <c r="D30" i="23"/>
  <c r="E25" i="23"/>
  <c r="H25" i="23"/>
  <c r="I25" i="23"/>
  <c r="J25" i="23"/>
  <c r="F25" i="23"/>
  <c r="G25" i="23"/>
  <c r="I24" i="23"/>
  <c r="H24" i="23"/>
  <c r="F24" i="23"/>
  <c r="J24" i="23"/>
  <c r="G24" i="23"/>
  <c r="E24" i="23"/>
  <c r="D14" i="23"/>
  <c r="I28" i="23"/>
  <c r="H28" i="23"/>
  <c r="J28" i="23"/>
  <c r="F28" i="23"/>
  <c r="G28" i="23"/>
  <c r="E28" i="23"/>
  <c r="G26" i="23"/>
  <c r="E26" i="23"/>
  <c r="I26" i="23"/>
  <c r="H26" i="23"/>
  <c r="F26" i="23"/>
  <c r="J26" i="23"/>
  <c r="J27" i="23"/>
  <c r="F27" i="23"/>
  <c r="G27" i="23"/>
  <c r="E27" i="23"/>
  <c r="I27" i="23"/>
  <c r="H27" i="23"/>
  <c r="P107" i="14"/>
  <c r="F107" i="14"/>
  <c r="H68" i="14"/>
  <c r="F68" i="14"/>
  <c r="L68" i="14"/>
  <c r="L60" i="14"/>
  <c r="F60" i="14"/>
  <c r="L37" i="14"/>
  <c r="F37" i="14"/>
  <c r="L9" i="14"/>
  <c r="H9" i="14"/>
  <c r="F9" i="14"/>
  <c r="F104" i="14"/>
  <c r="H43" i="26" l="1"/>
  <c r="E48" i="26" s="1"/>
  <c r="F49" i="26" s="1"/>
  <c r="H44" i="26"/>
  <c r="V14" i="23"/>
  <c r="P14" i="23"/>
  <c r="S14" i="23"/>
  <c r="M14" i="23"/>
  <c r="G14" i="23"/>
  <c r="J14" i="23"/>
  <c r="J30" i="23"/>
  <c r="H30" i="23"/>
  <c r="G30" i="23"/>
  <c r="I30" i="23"/>
  <c r="F30" i="23"/>
  <c r="E30" i="23"/>
  <c r="H70" i="14"/>
  <c r="J70" i="14"/>
  <c r="L70" i="14"/>
  <c r="N70" i="14"/>
  <c r="P70" i="14"/>
  <c r="R70" i="14"/>
  <c r="H58" i="14"/>
  <c r="J58" i="14"/>
  <c r="L58" i="14"/>
  <c r="N58" i="14"/>
  <c r="P58" i="14"/>
  <c r="R58" i="14"/>
  <c r="L72" i="14"/>
  <c r="S2" i="14"/>
  <c r="H114" i="14"/>
  <c r="J114" i="14"/>
  <c r="L114" i="14"/>
  <c r="N114" i="14"/>
  <c r="P114" i="14"/>
  <c r="R114" i="14"/>
  <c r="F114" i="14"/>
  <c r="R99" i="14"/>
  <c r="H99" i="14"/>
  <c r="J99" i="14"/>
  <c r="L99" i="14"/>
  <c r="N99" i="14"/>
  <c r="P99" i="14"/>
  <c r="F99" i="14"/>
  <c r="H95" i="14"/>
  <c r="J95" i="14"/>
  <c r="L95" i="14"/>
  <c r="N95" i="14"/>
  <c r="P95" i="14"/>
  <c r="R95" i="14"/>
  <c r="F95" i="14"/>
  <c r="H91" i="14"/>
  <c r="J91" i="14"/>
  <c r="L91" i="14"/>
  <c r="N91" i="14"/>
  <c r="P91" i="14"/>
  <c r="R91" i="14"/>
  <c r="F91" i="14"/>
  <c r="H85" i="14"/>
  <c r="J85" i="14"/>
  <c r="L85" i="14"/>
  <c r="N85" i="14"/>
  <c r="P85" i="14"/>
  <c r="R85" i="14"/>
  <c r="F85" i="14"/>
  <c r="H80" i="14"/>
  <c r="J80" i="14"/>
  <c r="L80" i="14"/>
  <c r="N80" i="14"/>
  <c r="P80" i="14"/>
  <c r="R80" i="14"/>
  <c r="F80" i="14"/>
  <c r="H75" i="14"/>
  <c r="J75" i="14"/>
  <c r="L75" i="14"/>
  <c r="N75" i="14"/>
  <c r="P75" i="14"/>
  <c r="R75" i="14"/>
  <c r="H55" i="14"/>
  <c r="J55" i="14"/>
  <c r="L55" i="14"/>
  <c r="N55" i="14"/>
  <c r="P55" i="14"/>
  <c r="R55" i="14"/>
  <c r="H52" i="14"/>
  <c r="J52" i="14"/>
  <c r="L52" i="14"/>
  <c r="N52" i="14"/>
  <c r="P52" i="14"/>
  <c r="R52" i="14"/>
  <c r="F52" i="14"/>
  <c r="H49" i="14"/>
  <c r="J49" i="14"/>
  <c r="L49" i="14"/>
  <c r="N49" i="14"/>
  <c r="P49" i="14"/>
  <c r="R49" i="14"/>
  <c r="F49" i="14"/>
  <c r="H35" i="14"/>
  <c r="J35" i="14"/>
  <c r="L35" i="14"/>
  <c r="N35" i="14"/>
  <c r="P35" i="14"/>
  <c r="R35" i="14"/>
  <c r="H31" i="14"/>
  <c r="J31" i="14"/>
  <c r="L31" i="14"/>
  <c r="N31" i="14"/>
  <c r="P31" i="14"/>
  <c r="R31" i="14"/>
  <c r="H26" i="14"/>
  <c r="J26" i="14"/>
  <c r="L26" i="14"/>
  <c r="N26" i="14"/>
  <c r="P26" i="14"/>
  <c r="R26" i="14"/>
  <c r="N21" i="14"/>
  <c r="H17" i="14"/>
  <c r="J17" i="14"/>
  <c r="L17" i="14"/>
  <c r="N17" i="14"/>
  <c r="P17" i="14"/>
  <c r="R17" i="14"/>
  <c r="F17" i="14"/>
  <c r="H10" i="14"/>
  <c r="J10" i="14"/>
  <c r="L10" i="14"/>
  <c r="N10" i="14"/>
  <c r="P10" i="14"/>
  <c r="R10" i="14"/>
  <c r="R41" i="14"/>
  <c r="J41" i="14"/>
  <c r="L41" i="14"/>
  <c r="P41" i="14"/>
  <c r="N41" i="14"/>
  <c r="H41" i="14"/>
  <c r="F41" i="14"/>
  <c r="R101" i="14"/>
  <c r="R105" i="14"/>
  <c r="R68" i="14"/>
  <c r="R72" i="14"/>
  <c r="R37" i="14"/>
  <c r="R19" i="14"/>
  <c r="R11" i="14"/>
  <c r="R8" i="14"/>
  <c r="J101" i="14"/>
  <c r="J105" i="14"/>
  <c r="J68" i="14"/>
  <c r="J72" i="14"/>
  <c r="J37" i="14"/>
  <c r="J19" i="14"/>
  <c r="J11" i="14"/>
  <c r="J8" i="14"/>
  <c r="R9" i="14"/>
  <c r="L101" i="14"/>
  <c r="L105" i="14"/>
  <c r="P68" i="14"/>
  <c r="N72" i="14"/>
  <c r="L19" i="14"/>
  <c r="L11" i="14"/>
  <c r="L8" i="14"/>
  <c r="P101" i="14"/>
  <c r="P105" i="14"/>
  <c r="P72" i="14"/>
  <c r="P37" i="14"/>
  <c r="P19" i="14"/>
  <c r="P11" i="14"/>
  <c r="P8" i="14"/>
  <c r="N101" i="14"/>
  <c r="N105" i="14"/>
  <c r="N68" i="14"/>
  <c r="E20" i="21"/>
  <c r="C19" i="21"/>
  <c r="C18" i="21"/>
  <c r="C17" i="21"/>
  <c r="C16" i="21"/>
  <c r="C14" i="21"/>
  <c r="C13" i="21"/>
  <c r="N37" i="14"/>
  <c r="N19" i="14"/>
  <c r="N12" i="14"/>
  <c r="N11" i="14"/>
  <c r="N8" i="14"/>
  <c r="H101" i="14"/>
  <c r="H105" i="14"/>
  <c r="H72" i="14"/>
  <c r="H37" i="14"/>
  <c r="H19" i="14"/>
  <c r="H11" i="14"/>
  <c r="H8" i="14"/>
  <c r="F101" i="14"/>
  <c r="F105" i="14"/>
  <c r="F72" i="14"/>
  <c r="F18" i="14"/>
  <c r="F11" i="14"/>
  <c r="F8" i="14"/>
  <c r="E59" i="26" l="1"/>
  <c r="E81" i="26"/>
  <c r="E70" i="26"/>
  <c r="E92" i="26"/>
  <c r="E93" i="26"/>
  <c r="E82" i="26"/>
  <c r="E60" i="26"/>
  <c r="E71" i="26"/>
  <c r="E49" i="26"/>
  <c r="C20" i="21"/>
  <c r="D17" i="21" s="1"/>
  <c r="E17" i="21" s="1"/>
  <c r="L23" i="14" s="1"/>
  <c r="L21" i="14" s="1"/>
  <c r="H45" i="26" l="1"/>
  <c r="I45" i="26" s="1"/>
  <c r="D18" i="21"/>
  <c r="E18" i="21" s="1"/>
  <c r="J23" i="14" s="1"/>
  <c r="J21" i="14" s="1"/>
  <c r="D13" i="21"/>
  <c r="E13" i="21" s="1"/>
  <c r="F23" i="14" s="1"/>
  <c r="F21" i="14" s="1"/>
  <c r="D16" i="21"/>
  <c r="E16" i="21" s="1"/>
  <c r="P23" i="14" s="1"/>
  <c r="P21" i="14" s="1"/>
  <c r="D19" i="21"/>
  <c r="E19" i="21" s="1"/>
  <c r="R23" i="14" s="1"/>
  <c r="R21" i="14" s="1"/>
  <c r="D14" i="21"/>
  <c r="E14" i="21" s="1"/>
  <c r="H23" i="14" s="1"/>
  <c r="H21" i="14" s="1"/>
  <c r="D20" i="21" l="1"/>
  <c r="M9" i="21" l="1"/>
  <c r="L9" i="21"/>
  <c r="K9" i="21"/>
  <c r="J9" i="21"/>
  <c r="I9" i="21"/>
  <c r="H9" i="21"/>
  <c r="G9" i="21"/>
  <c r="F9" i="21"/>
  <c r="F100" i="14"/>
  <c r="F92" i="14"/>
  <c r="F86" i="14"/>
  <c r="F81" i="14"/>
  <c r="F76" i="14"/>
  <c r="F71" i="14"/>
  <c r="F66" i="14"/>
  <c r="F50" i="14"/>
  <c r="F36" i="14"/>
  <c r="F32" i="14"/>
  <c r="F96" i="14"/>
  <c r="F27" i="14"/>
  <c r="F24" i="14"/>
  <c r="F6" i="14"/>
  <c r="H104" i="14"/>
  <c r="H102" i="14"/>
  <c r="H100" i="14"/>
  <c r="H92" i="14"/>
  <c r="H86" i="14"/>
  <c r="H81" i="14"/>
  <c r="H76" i="14"/>
  <c r="H71" i="14"/>
  <c r="H66" i="14"/>
  <c r="H59" i="14"/>
  <c r="H56" i="14"/>
  <c r="H53" i="14"/>
  <c r="H50" i="14"/>
  <c r="H40" i="14"/>
  <c r="H36" i="14"/>
  <c r="H32" i="14"/>
  <c r="H96" i="14"/>
  <c r="H27" i="14"/>
  <c r="H24" i="14"/>
  <c r="H22" i="14"/>
  <c r="H18" i="14"/>
  <c r="H6" i="14"/>
  <c r="N104" i="14"/>
  <c r="N100" i="14"/>
  <c r="N92" i="14"/>
  <c r="N86" i="14"/>
  <c r="N81" i="14"/>
  <c r="N76" i="14"/>
  <c r="N71" i="14"/>
  <c r="N66" i="14"/>
  <c r="N56" i="14"/>
  <c r="N53" i="14"/>
  <c r="N50" i="14"/>
  <c r="N40" i="14"/>
  <c r="N36" i="14"/>
  <c r="N32" i="14"/>
  <c r="N96" i="14"/>
  <c r="N24" i="14"/>
  <c r="N6" i="14"/>
  <c r="P104" i="14"/>
  <c r="P100" i="14"/>
  <c r="P76" i="14"/>
  <c r="P66" i="14"/>
  <c r="P32" i="14"/>
  <c r="P96" i="14"/>
  <c r="P27" i="14"/>
  <c r="P24" i="14"/>
  <c r="P22" i="14"/>
  <c r="P18" i="14"/>
  <c r="P6" i="14"/>
  <c r="J104" i="14" l="1"/>
  <c r="J102" i="14"/>
  <c r="J100" i="14"/>
  <c r="J93" i="14"/>
  <c r="J92" i="14"/>
  <c r="J87" i="14"/>
  <c r="J86" i="14"/>
  <c r="J82" i="14"/>
  <c r="J81" i="14"/>
  <c r="J77" i="14"/>
  <c r="J76" i="14"/>
  <c r="J71" i="14"/>
  <c r="J66" i="14"/>
  <c r="J60" i="14"/>
  <c r="J59" i="14"/>
  <c r="J57" i="14"/>
  <c r="J56" i="14"/>
  <c r="J54" i="14"/>
  <c r="J53" i="14"/>
  <c r="J51" i="14"/>
  <c r="J50" i="14"/>
  <c r="J40" i="14"/>
  <c r="J36" i="14"/>
  <c r="J34" i="14"/>
  <c r="J33" i="14"/>
  <c r="J32" i="14"/>
  <c r="J96" i="14"/>
  <c r="J28" i="14"/>
  <c r="J27" i="14"/>
  <c r="J24" i="14"/>
  <c r="J22" i="14"/>
  <c r="J18" i="14"/>
  <c r="J12" i="14"/>
  <c r="J6" i="14"/>
  <c r="L18" i="14" l="1"/>
  <c r="R66" i="14"/>
  <c r="L32" i="14"/>
  <c r="L96" i="14"/>
  <c r="L24" i="14"/>
  <c r="L6" i="14"/>
  <c r="R115" i="14"/>
  <c r="R100" i="14"/>
  <c r="R92" i="14"/>
  <c r="R81" i="14"/>
  <c r="R76" i="14"/>
  <c r="R71" i="14"/>
  <c r="R59" i="14"/>
  <c r="R56" i="14"/>
  <c r="R53" i="14"/>
  <c r="R50" i="14"/>
  <c r="R40" i="14"/>
  <c r="R32" i="14"/>
  <c r="R96" i="14"/>
  <c r="R27" i="14"/>
  <c r="R24" i="14"/>
  <c r="R22" i="14"/>
  <c r="R18" i="14"/>
  <c r="R12" i="14"/>
  <c r="R104" i="14" l="1"/>
  <c r="R102" i="14"/>
  <c r="R117" i="14"/>
  <c r="R93" i="14"/>
  <c r="R87" i="14"/>
  <c r="R82" i="14"/>
  <c r="R77" i="14"/>
  <c r="R57" i="14"/>
  <c r="R54" i="14"/>
  <c r="R51" i="14"/>
  <c r="R33" i="14"/>
  <c r="R97" i="14"/>
  <c r="R28" i="14"/>
  <c r="E9" i="21"/>
  <c r="C8" i="21"/>
  <c r="C7" i="21"/>
  <c r="C6" i="21"/>
  <c r="C5" i="21"/>
  <c r="C4" i="21"/>
  <c r="C3" i="21"/>
  <c r="C2" i="21"/>
  <c r="X10" i="19"/>
  <c r="Y10" i="19"/>
  <c r="C9" i="21" l="1"/>
  <c r="D2" i="21" s="1"/>
  <c r="N2" i="21" s="1"/>
  <c r="L2" i="21" l="1"/>
  <c r="J2" i="21"/>
  <c r="M2" i="21"/>
  <c r="K2" i="21"/>
  <c r="F2" i="21"/>
  <c r="G2" i="21"/>
  <c r="H2" i="21"/>
  <c r="I2" i="21"/>
  <c r="D8" i="21"/>
  <c r="N8" i="21" s="1"/>
  <c r="D7" i="21"/>
  <c r="N7" i="21" s="1"/>
  <c r="D3" i="21"/>
  <c r="N3" i="21" s="1"/>
  <c r="E2" i="21"/>
  <c r="F46" i="14" s="1"/>
  <c r="F39" i="14" s="1"/>
  <c r="D5" i="21"/>
  <c r="N5" i="21" s="1"/>
  <c r="D4" i="21"/>
  <c r="N4" i="21" s="1"/>
  <c r="D6" i="21"/>
  <c r="N6" i="21" s="1"/>
  <c r="B30" i="19"/>
  <c r="C30" i="19" s="1"/>
  <c r="B29" i="19"/>
  <c r="C29" i="19" s="1"/>
  <c r="B31" i="19"/>
  <c r="E5" i="21" l="1"/>
  <c r="P46" i="14" s="1"/>
  <c r="P39" i="14" s="1"/>
  <c r="L5" i="21"/>
  <c r="J5" i="21"/>
  <c r="K5" i="21"/>
  <c r="M5" i="21"/>
  <c r="F5" i="21"/>
  <c r="G5" i="21"/>
  <c r="H5" i="21"/>
  <c r="I5" i="21"/>
  <c r="E8" i="21"/>
  <c r="R46" i="14" s="1"/>
  <c r="R39" i="14" s="1"/>
  <c r="M8" i="21"/>
  <c r="K8" i="21"/>
  <c r="L8" i="21"/>
  <c r="J8" i="21"/>
  <c r="G8" i="21"/>
  <c r="H8" i="21"/>
  <c r="I8" i="21"/>
  <c r="F8" i="21"/>
  <c r="E6" i="21"/>
  <c r="L46" i="14" s="1"/>
  <c r="L39" i="14" s="1"/>
  <c r="K6" i="21"/>
  <c r="J6" i="21"/>
  <c r="L6" i="21"/>
  <c r="M6" i="21"/>
  <c r="I6" i="21"/>
  <c r="F6" i="21"/>
  <c r="G6" i="21"/>
  <c r="H6" i="21"/>
  <c r="E3" i="21"/>
  <c r="H46" i="14" s="1"/>
  <c r="H39" i="14" s="1"/>
  <c r="K3" i="21"/>
  <c r="L3" i="21"/>
  <c r="J3" i="21"/>
  <c r="M3" i="21"/>
  <c r="H3" i="21"/>
  <c r="I3" i="21"/>
  <c r="F3" i="21"/>
  <c r="G3" i="21"/>
  <c r="E4" i="21"/>
  <c r="N46" i="14" s="1"/>
  <c r="N39" i="14" s="1"/>
  <c r="M4" i="21"/>
  <c r="J4" i="21"/>
  <c r="K4" i="21"/>
  <c r="L4" i="21"/>
  <c r="G4" i="21"/>
  <c r="H4" i="21"/>
  <c r="I4" i="21"/>
  <c r="F4" i="21"/>
  <c r="E7" i="21"/>
  <c r="J46" i="14" s="1"/>
  <c r="J39" i="14" s="1"/>
  <c r="K7" i="21"/>
  <c r="L7" i="21"/>
  <c r="J7" i="21"/>
  <c r="M7" i="21"/>
  <c r="H7" i="21"/>
  <c r="I7" i="21"/>
  <c r="F7" i="21"/>
  <c r="G7" i="21"/>
  <c r="D9" i="21"/>
  <c r="C9" i="15"/>
  <c r="C8" i="15"/>
  <c r="C7" i="15"/>
  <c r="C6" i="15"/>
  <c r="C5" i="15"/>
  <c r="C4" i="15"/>
  <c r="C3" i="15"/>
  <c r="S1" i="19" l="1"/>
  <c r="D23" i="19"/>
  <c r="P1" i="19"/>
  <c r="O1" i="19"/>
  <c r="D20" i="19"/>
  <c r="D19" i="19"/>
  <c r="D18" i="19"/>
  <c r="N2" i="14"/>
  <c r="J1" i="19" l="1"/>
  <c r="D15" i="19"/>
  <c r="I1" i="19"/>
  <c r="H1" i="19"/>
  <c r="D14" i="19"/>
  <c r="G1" i="19"/>
  <c r="D12" i="19"/>
  <c r="D11" i="19"/>
  <c r="C8" i="19"/>
  <c r="C7" i="19"/>
  <c r="C6" i="19"/>
  <c r="C5" i="19"/>
  <c r="C4" i="19"/>
  <c r="C3" i="19"/>
  <c r="R112" i="14"/>
  <c r="J112" i="14"/>
  <c r="S112" i="14" s="1"/>
  <c r="L112" i="14"/>
  <c r="S17" i="14"/>
  <c r="S21" i="14"/>
  <c r="S24" i="14"/>
  <c r="S42" i="14"/>
  <c r="S43" i="14"/>
  <c r="S45" i="14"/>
  <c r="S49" i="14"/>
  <c r="S52" i="14"/>
  <c r="S55" i="14"/>
  <c r="S64" i="14"/>
  <c r="S84" i="14"/>
  <c r="S99" i="14"/>
  <c r="S106" i="14"/>
  <c r="S111" i="14"/>
  <c r="S113" i="14"/>
  <c r="S114" i="14"/>
  <c r="S119" i="14"/>
  <c r="S120" i="14"/>
  <c r="D26" i="19" l="1"/>
  <c r="C9" i="19"/>
  <c r="D6" i="19" s="1"/>
  <c r="R44" i="14"/>
  <c r="R121" i="14"/>
  <c r="P7" i="14"/>
  <c r="N34" i="14"/>
  <c r="H34" i="14"/>
  <c r="S44" i="14" l="1"/>
  <c r="Y6" i="19"/>
  <c r="X6" i="19"/>
  <c r="D8" i="19"/>
  <c r="P8" i="19" s="1"/>
  <c r="D4" i="19"/>
  <c r="P4" i="19" s="1"/>
  <c r="D7" i="19"/>
  <c r="R7" i="19" s="1"/>
  <c r="D3" i="19"/>
  <c r="P3" i="19" s="1"/>
  <c r="D2" i="19"/>
  <c r="P2" i="19" s="1"/>
  <c r="D5" i="19"/>
  <c r="R5" i="19" s="1"/>
  <c r="O6" i="19"/>
  <c r="K6" i="19"/>
  <c r="S6" i="19"/>
  <c r="N6" i="19"/>
  <c r="R6" i="19"/>
  <c r="Q6" i="19"/>
  <c r="M6" i="19"/>
  <c r="P6" i="19"/>
  <c r="L6" i="19"/>
  <c r="N5" i="19"/>
  <c r="P5" i="19"/>
  <c r="I5" i="19"/>
  <c r="E5" i="19"/>
  <c r="J6" i="19"/>
  <c r="I6" i="19"/>
  <c r="G6" i="19"/>
  <c r="E6" i="19"/>
  <c r="F6" i="19"/>
  <c r="H6" i="19"/>
  <c r="R110" i="14"/>
  <c r="R108" i="14" s="1"/>
  <c r="J110" i="14"/>
  <c r="J108" i="14" s="1"/>
  <c r="L110" i="14"/>
  <c r="L108" i="14" s="1"/>
  <c r="P110" i="14"/>
  <c r="P108" i="14" s="1"/>
  <c r="N110" i="14"/>
  <c r="N108" i="14" s="1"/>
  <c r="H110" i="14"/>
  <c r="H108" i="14" s="1"/>
  <c r="F110" i="14"/>
  <c r="R83" i="14"/>
  <c r="P30" i="14"/>
  <c r="S30" i="14" s="1"/>
  <c r="R74" i="14"/>
  <c r="J74" i="14"/>
  <c r="S74" i="14" s="1"/>
  <c r="L74" i="14"/>
  <c r="P74" i="14"/>
  <c r="N74" i="14"/>
  <c r="F29" i="14"/>
  <c r="Q10" i="15"/>
  <c r="G11" i="15"/>
  <c r="P11" i="15"/>
  <c r="R69" i="14"/>
  <c r="J69" i="14"/>
  <c r="L69" i="14"/>
  <c r="P69" i="14"/>
  <c r="N69" i="14"/>
  <c r="F69" i="14"/>
  <c r="R79" i="14"/>
  <c r="P79" i="14"/>
  <c r="N79" i="14"/>
  <c r="L79" i="14"/>
  <c r="J79" i="14"/>
  <c r="H79" i="14"/>
  <c r="F79" i="14"/>
  <c r="S79" i="14" s="1"/>
  <c r="E7" i="19" l="1"/>
  <c r="O7" i="19"/>
  <c r="J8" i="19"/>
  <c r="H3" i="19"/>
  <c r="M3" i="19"/>
  <c r="F7" i="19"/>
  <c r="M7" i="19"/>
  <c r="J7" i="19"/>
  <c r="K7" i="19"/>
  <c r="K8" i="19"/>
  <c r="E4" i="19"/>
  <c r="K4" i="19"/>
  <c r="H5" i="19"/>
  <c r="G4" i="19"/>
  <c r="H4" i="19"/>
  <c r="O5" i="19"/>
  <c r="M5" i="19"/>
  <c r="S5" i="19"/>
  <c r="O4" i="19"/>
  <c r="Q4" i="19"/>
  <c r="M4" i="19"/>
  <c r="F4" i="19"/>
  <c r="K5" i="19"/>
  <c r="Q5" i="19"/>
  <c r="N4" i="19"/>
  <c r="L4" i="19"/>
  <c r="R4" i="19"/>
  <c r="T6" i="19"/>
  <c r="L109" i="14" s="1"/>
  <c r="L103" i="14" s="1"/>
  <c r="F5" i="19"/>
  <c r="I4" i="19"/>
  <c r="J5" i="19"/>
  <c r="G5" i="19"/>
  <c r="J4" i="19"/>
  <c r="L5" i="19"/>
  <c r="S4" i="19"/>
  <c r="Z6" i="19"/>
  <c r="M8" i="19"/>
  <c r="E8" i="19"/>
  <c r="O8" i="19"/>
  <c r="Q8" i="19"/>
  <c r="G8" i="19"/>
  <c r="H8" i="19"/>
  <c r="S8" i="19"/>
  <c r="L8" i="19"/>
  <c r="R8" i="19"/>
  <c r="I8" i="19"/>
  <c r="F8" i="19"/>
  <c r="N8" i="19"/>
  <c r="F108" i="14"/>
  <c r="S110" i="14"/>
  <c r="F97" i="14"/>
  <c r="S69" i="14"/>
  <c r="S80" i="14"/>
  <c r="S83" i="14"/>
  <c r="Y5" i="19"/>
  <c r="X5" i="19"/>
  <c r="Y4" i="19"/>
  <c r="X4" i="19"/>
  <c r="Q2" i="19"/>
  <c r="Y2" i="19"/>
  <c r="X2" i="19"/>
  <c r="Y8" i="19"/>
  <c r="X8" i="19"/>
  <c r="L3" i="19"/>
  <c r="X3" i="19"/>
  <c r="Y3" i="19"/>
  <c r="L7" i="19"/>
  <c r="X7" i="19"/>
  <c r="Y7" i="19"/>
  <c r="I3" i="19"/>
  <c r="I7" i="19"/>
  <c r="Q7" i="19"/>
  <c r="S7" i="19"/>
  <c r="P7" i="19"/>
  <c r="T7" i="19" s="1"/>
  <c r="J109" i="14" s="1"/>
  <c r="J103" i="14" s="1"/>
  <c r="K3" i="19"/>
  <c r="Q3" i="19"/>
  <c r="G3" i="19"/>
  <c r="G7" i="19"/>
  <c r="H7" i="19"/>
  <c r="N7" i="19"/>
  <c r="S3" i="19"/>
  <c r="N2" i="19"/>
  <c r="D9" i="19"/>
  <c r="J3" i="19"/>
  <c r="R3" i="19"/>
  <c r="O3" i="19"/>
  <c r="U6" i="19"/>
  <c r="T5" i="19"/>
  <c r="P109" i="14" s="1"/>
  <c r="P103" i="14" s="1"/>
  <c r="F3" i="19"/>
  <c r="E3" i="19"/>
  <c r="N3" i="19"/>
  <c r="H2" i="19"/>
  <c r="I2" i="19"/>
  <c r="L2" i="19"/>
  <c r="R2" i="19"/>
  <c r="J2" i="19"/>
  <c r="F2" i="19"/>
  <c r="K2" i="19"/>
  <c r="M2" i="19"/>
  <c r="S2" i="19"/>
  <c r="E2" i="19"/>
  <c r="G2" i="19"/>
  <c r="O2" i="19"/>
  <c r="AE10" i="15"/>
  <c r="AD10" i="15"/>
  <c r="AC9" i="15"/>
  <c r="U5" i="19" l="1"/>
  <c r="T4" i="19"/>
  <c r="N109" i="14" s="1"/>
  <c r="N103" i="14" s="1"/>
  <c r="M9" i="19"/>
  <c r="U4" i="19"/>
  <c r="T8" i="19"/>
  <c r="R109" i="14" s="1"/>
  <c r="R103" i="14" s="1"/>
  <c r="P9" i="19"/>
  <c r="H9" i="19"/>
  <c r="F9" i="19"/>
  <c r="Q9" i="19"/>
  <c r="Z5" i="19"/>
  <c r="K9" i="19"/>
  <c r="L9" i="19"/>
  <c r="U8" i="19"/>
  <c r="S9" i="19"/>
  <c r="J9" i="19"/>
  <c r="G9" i="19"/>
  <c r="Z4" i="19"/>
  <c r="T3" i="19"/>
  <c r="H109" i="14" s="1"/>
  <c r="H103" i="14" s="1"/>
  <c r="U7" i="19"/>
  <c r="V7" i="19" s="1"/>
  <c r="I9" i="19"/>
  <c r="R9" i="19"/>
  <c r="Z3" i="19"/>
  <c r="Z2" i="19"/>
  <c r="S108" i="14"/>
  <c r="Z7" i="19"/>
  <c r="Z8" i="19"/>
  <c r="O9" i="19"/>
  <c r="N9" i="19"/>
  <c r="T2" i="19"/>
  <c r="F109" i="14" s="1"/>
  <c r="F103" i="14" s="1"/>
  <c r="E9" i="19"/>
  <c r="U2" i="19"/>
  <c r="U3" i="19"/>
  <c r="AB9" i="15"/>
  <c r="F10" i="15"/>
  <c r="G3" i="15"/>
  <c r="G9" i="15"/>
  <c r="G4" i="15"/>
  <c r="F22" i="15"/>
  <c r="E22" i="15" s="1"/>
  <c r="G22" i="15" s="1"/>
  <c r="F21" i="15"/>
  <c r="G21" i="15"/>
  <c r="I21" i="15"/>
  <c r="F20" i="15"/>
  <c r="P2" i="14"/>
  <c r="L2" i="14"/>
  <c r="J2" i="14"/>
  <c r="H2" i="14"/>
  <c r="R2" i="14"/>
  <c r="F2" i="14"/>
  <c r="X11" i="15"/>
  <c r="Y11" i="15"/>
  <c r="Z11" i="15"/>
  <c r="AA11" i="15"/>
  <c r="AA9" i="15"/>
  <c r="X9" i="15"/>
  <c r="X6" i="15"/>
  <c r="Z6" i="15"/>
  <c r="Y5" i="15"/>
  <c r="Y4" i="15"/>
  <c r="X8" i="15"/>
  <c r="W7" i="19" l="1"/>
  <c r="T9" i="19"/>
  <c r="Z10" i="19"/>
  <c r="U9" i="19"/>
  <c r="S103" i="14"/>
  <c r="S109" i="14"/>
  <c r="E23" i="15"/>
  <c r="E24" i="15" s="1"/>
  <c r="E25" i="15" s="1"/>
  <c r="W10" i="15"/>
  <c r="C16" i="15"/>
  <c r="V10" i="15"/>
  <c r="C15" i="15"/>
  <c r="U10" i="15"/>
  <c r="C14" i="15"/>
  <c r="S6" i="15" l="1"/>
  <c r="R10" i="15"/>
  <c r="C13" i="15"/>
  <c r="C12" i="17"/>
  <c r="L10" i="15"/>
  <c r="M5" i="15"/>
  <c r="M9" i="15"/>
  <c r="M3" i="15"/>
  <c r="J10" i="15"/>
  <c r="K4" i="15"/>
  <c r="K8" i="15"/>
  <c r="K9" i="15"/>
  <c r="C11" i="15" l="1"/>
  <c r="D3" i="15" s="1"/>
  <c r="H3" i="15" l="1"/>
  <c r="F3" i="15"/>
  <c r="D8" i="15"/>
  <c r="H8" i="15" s="1"/>
  <c r="AE3" i="15"/>
  <c r="AD3" i="15"/>
  <c r="U3" i="15"/>
  <c r="V3" i="15"/>
  <c r="W3" i="15"/>
  <c r="D7" i="15"/>
  <c r="H7" i="15" s="1"/>
  <c r="D9" i="15"/>
  <c r="H9" i="15" s="1"/>
  <c r="D6" i="15"/>
  <c r="H6" i="15" s="1"/>
  <c r="D4" i="15"/>
  <c r="H4" i="15" s="1"/>
  <c r="D5" i="15"/>
  <c r="H5" i="15" s="1"/>
  <c r="J3" i="15"/>
  <c r="R3" i="15"/>
  <c r="L3" i="15"/>
  <c r="D11" i="15" l="1"/>
  <c r="J4" i="15"/>
  <c r="J8" i="15"/>
  <c r="U8" i="15"/>
  <c r="V8" i="15"/>
  <c r="R8" i="15"/>
  <c r="L8" i="15"/>
  <c r="W8" i="15"/>
  <c r="H11" i="15"/>
  <c r="Q3" i="15"/>
  <c r="AD6" i="15"/>
  <c r="AE6" i="15"/>
  <c r="F6" i="15"/>
  <c r="AE5" i="15"/>
  <c r="AD5" i="15"/>
  <c r="F5" i="15"/>
  <c r="AE9" i="15"/>
  <c r="AD9" i="15"/>
  <c r="F9" i="15"/>
  <c r="AE7" i="15"/>
  <c r="AD7" i="15"/>
  <c r="F7" i="15"/>
  <c r="AE4" i="15"/>
  <c r="AD4" i="15"/>
  <c r="F4" i="15"/>
  <c r="AE8" i="15"/>
  <c r="AD8" i="15"/>
  <c r="F8" i="15"/>
  <c r="W9" i="15"/>
  <c r="V9" i="15"/>
  <c r="U9" i="15"/>
  <c r="W4" i="15"/>
  <c r="V4" i="15"/>
  <c r="U4" i="15"/>
  <c r="W6" i="15"/>
  <c r="U6" i="15"/>
  <c r="V6" i="15"/>
  <c r="W5" i="15"/>
  <c r="V5" i="15"/>
  <c r="U5" i="15"/>
  <c r="V7" i="15"/>
  <c r="U7" i="15"/>
  <c r="W7" i="15"/>
  <c r="J5" i="15"/>
  <c r="L5" i="15"/>
  <c r="R5" i="15"/>
  <c r="J7" i="15"/>
  <c r="L7" i="15"/>
  <c r="R7" i="15"/>
  <c r="R4" i="15"/>
  <c r="L4" i="15"/>
  <c r="J6" i="15"/>
  <c r="R6" i="15"/>
  <c r="L6" i="15"/>
  <c r="J9" i="15"/>
  <c r="L9" i="15"/>
  <c r="R9" i="15"/>
  <c r="K11" i="15"/>
  <c r="Q8" i="15" l="1"/>
  <c r="J67" i="14" s="1"/>
  <c r="J65" i="14" s="1"/>
  <c r="Q4" i="15"/>
  <c r="H67" i="14" s="1"/>
  <c r="H65" i="14" s="1"/>
  <c r="Q6" i="15"/>
  <c r="P67" i="14" s="1"/>
  <c r="P65" i="14" s="1"/>
  <c r="Q5" i="15"/>
  <c r="N67" i="14" s="1"/>
  <c r="N65" i="14" s="1"/>
  <c r="U11" i="15"/>
  <c r="AE11" i="15"/>
  <c r="Q9" i="15"/>
  <c r="R67" i="14" s="1"/>
  <c r="R65" i="14" s="1"/>
  <c r="R122" i="14" s="1"/>
  <c r="Q7" i="15"/>
  <c r="L67" i="14" s="1"/>
  <c r="L65" i="14" s="1"/>
  <c r="F67" i="14"/>
  <c r="F65" i="14" s="1"/>
  <c r="F11" i="15"/>
  <c r="AD11" i="15"/>
  <c r="W11" i="15"/>
  <c r="V11" i="15"/>
  <c r="L11" i="15"/>
  <c r="J11" i="15"/>
  <c r="R11" i="15"/>
  <c r="I11" i="15"/>
  <c r="I9" i="15"/>
  <c r="I7" i="15"/>
  <c r="I5" i="15"/>
  <c r="I10" i="15"/>
  <c r="E11" i="15"/>
  <c r="E3" i="15"/>
  <c r="N11" i="15"/>
  <c r="O11" i="15"/>
  <c r="P9" i="15"/>
  <c r="S67" i="14" l="1"/>
  <c r="Q11" i="15"/>
  <c r="T67" i="14" s="1"/>
  <c r="P7" i="15"/>
  <c r="P8" i="15"/>
  <c r="P5" i="15"/>
  <c r="C8" i="17"/>
  <c r="C7" i="17"/>
  <c r="C6" i="17"/>
  <c r="C5" i="17"/>
  <c r="C4" i="17"/>
  <c r="C3" i="17"/>
  <c r="N9" i="15"/>
  <c r="S65" i="14" l="1"/>
  <c r="V67" i="14"/>
  <c r="C9" i="17"/>
  <c r="D6" i="17" s="1"/>
  <c r="P47" i="14"/>
  <c r="P73" i="14"/>
  <c r="P90" i="14"/>
  <c r="P78" i="14"/>
  <c r="P121" i="14"/>
  <c r="P97" i="14"/>
  <c r="P29" i="14"/>
  <c r="P61" i="14"/>
  <c r="P63" i="14"/>
  <c r="P62" i="14"/>
  <c r="P94" i="14"/>
  <c r="P34" i="14"/>
  <c r="P15" i="14"/>
  <c r="P9" i="14"/>
  <c r="P20" i="14"/>
  <c r="P122" i="14" s="1"/>
  <c r="N47" i="14"/>
  <c r="N9" i="14"/>
  <c r="N38" i="14"/>
  <c r="N73" i="14"/>
  <c r="N90" i="14"/>
  <c r="N16" i="14"/>
  <c r="N78" i="14"/>
  <c r="N14" i="14"/>
  <c r="S14" i="14" s="1"/>
  <c r="N121" i="14"/>
  <c r="N97" i="14"/>
  <c r="N29" i="14"/>
  <c r="N94" i="14"/>
  <c r="N13" i="14"/>
  <c r="N48" i="14"/>
  <c r="N20" i="14"/>
  <c r="N122" i="14" s="1"/>
  <c r="L98" i="14"/>
  <c r="S98" i="14" s="1"/>
  <c r="L89" i="14"/>
  <c r="L88" i="14"/>
  <c r="L78" i="14"/>
  <c r="L121" i="14"/>
  <c r="L97" i="14"/>
  <c r="L29" i="14"/>
  <c r="L61" i="14"/>
  <c r="L63" i="14"/>
  <c r="L62" i="14"/>
  <c r="L94" i="14"/>
  <c r="L34" i="14"/>
  <c r="L20" i="14"/>
  <c r="L122" i="14" s="1"/>
  <c r="J38" i="14"/>
  <c r="J47" i="14"/>
  <c r="J73" i="14"/>
  <c r="J90" i="14"/>
  <c r="J121" i="14"/>
  <c r="J97" i="14"/>
  <c r="J29" i="14"/>
  <c r="J63" i="14"/>
  <c r="J61" i="14" s="1"/>
  <c r="J62" i="14"/>
  <c r="J94" i="14"/>
  <c r="J7" i="14"/>
  <c r="J48" i="14"/>
  <c r="S48" i="14" s="1"/>
  <c r="J13" i="14"/>
  <c r="J9" i="14"/>
  <c r="J20" i="14"/>
  <c r="J122" i="14" s="1"/>
  <c r="H73" i="14"/>
  <c r="H89" i="14"/>
  <c r="S89" i="14" s="1"/>
  <c r="S35" i="14" l="1"/>
  <c r="S38" i="14"/>
  <c r="L90" i="14"/>
  <c r="S15" i="14"/>
  <c r="P123" i="14"/>
  <c r="D7" i="17"/>
  <c r="F7" i="17" s="1"/>
  <c r="D8" i="17"/>
  <c r="F8" i="17" s="1"/>
  <c r="D4" i="17"/>
  <c r="E4" i="17" s="1"/>
  <c r="D3" i="17"/>
  <c r="E3" i="17" s="1"/>
  <c r="D5" i="17"/>
  <c r="E5" i="17" s="1"/>
  <c r="D2" i="17"/>
  <c r="E2" i="17" s="1"/>
  <c r="F6" i="17"/>
  <c r="E6" i="17"/>
  <c r="H90" i="14"/>
  <c r="H88" i="14"/>
  <c r="H78" i="14"/>
  <c r="H121" i="14"/>
  <c r="H97" i="14"/>
  <c r="H29" i="14"/>
  <c r="H61" i="14"/>
  <c r="H63" i="14"/>
  <c r="E7" i="17" l="1"/>
  <c r="G7" i="17" s="1"/>
  <c r="E8" i="17"/>
  <c r="G8" i="17" s="1"/>
  <c r="F4" i="17"/>
  <c r="G4" i="17" s="1"/>
  <c r="S97" i="14"/>
  <c r="G6" i="17"/>
  <c r="F3" i="17"/>
  <c r="G3" i="17" s="1"/>
  <c r="L123" i="14"/>
  <c r="F5" i="17"/>
  <c r="G5" i="17" s="1"/>
  <c r="D9" i="17"/>
  <c r="F2" i="17"/>
  <c r="G2" i="17" s="1"/>
  <c r="J123" i="14"/>
  <c r="N123" i="14"/>
  <c r="H62" i="14"/>
  <c r="H94" i="14"/>
  <c r="H13" i="14"/>
  <c r="H20" i="14"/>
  <c r="H122" i="14" s="1"/>
  <c r="H123" i="14" s="1"/>
  <c r="F73" i="14"/>
  <c r="F90" i="14"/>
  <c r="F78" i="14"/>
  <c r="F121" i="14"/>
  <c r="S121" i="14" s="1"/>
  <c r="F63" i="14"/>
  <c r="F62" i="14"/>
  <c r="S62" i="14" s="1"/>
  <c r="F94" i="14"/>
  <c r="F7" i="14"/>
  <c r="F34" i="14"/>
  <c r="F13" i="14"/>
  <c r="S9" i="14"/>
  <c r="F20" i="14"/>
  <c r="R20" i="14"/>
  <c r="R47" i="14"/>
  <c r="R73" i="14"/>
  <c r="R88" i="14"/>
  <c r="S88" i="14" s="1"/>
  <c r="R90" i="14"/>
  <c r="R16" i="14"/>
  <c r="R78" i="14"/>
  <c r="R118" i="14"/>
  <c r="S118" i="14" s="1"/>
  <c r="R29" i="14"/>
  <c r="R61" i="14"/>
  <c r="R63" i="14"/>
  <c r="R62" i="14"/>
  <c r="R94" i="14"/>
  <c r="R34" i="14"/>
  <c r="L126" i="14"/>
  <c r="K47" i="13"/>
  <c r="K45" i="13"/>
  <c r="K36" i="13"/>
  <c r="K35" i="13"/>
  <c r="K31" i="13"/>
  <c r="K24" i="13"/>
  <c r="K29" i="13"/>
  <c r="K39" i="13"/>
  <c r="K12" i="13"/>
  <c r="K46" i="13"/>
  <c r="K38" i="13"/>
  <c r="K26" i="13"/>
  <c r="K8" i="13"/>
  <c r="K6" i="13"/>
  <c r="K27" i="13"/>
  <c r="H51" i="13"/>
  <c r="L45" i="13"/>
  <c r="L42" i="13"/>
  <c r="L39" i="13"/>
  <c r="L12" i="13"/>
  <c r="K30" i="11"/>
  <c r="K29" i="11"/>
  <c r="K25" i="11"/>
  <c r="K20" i="11"/>
  <c r="K32" i="11"/>
  <c r="K22" i="11"/>
  <c r="L39" i="11"/>
  <c r="H39" i="11"/>
  <c r="K39" i="11"/>
  <c r="L8" i="11"/>
  <c r="K8" i="11"/>
  <c r="H8" i="11"/>
  <c r="G8" i="11"/>
  <c r="J8" i="11"/>
  <c r="I8" i="11"/>
  <c r="F8" i="11"/>
  <c r="L33" i="11"/>
  <c r="J33" i="11"/>
  <c r="G33" i="11"/>
  <c r="K33" i="11"/>
  <c r="H33" i="11"/>
  <c r="I33" i="11"/>
  <c r="F33" i="11"/>
  <c r="E8" i="11"/>
  <c r="E33" i="11"/>
  <c r="D6" i="12"/>
  <c r="D7" i="12"/>
  <c r="D8" i="12"/>
  <c r="D5" i="12"/>
  <c r="D4" i="12"/>
  <c r="D3" i="12"/>
  <c r="F122" i="14" l="1"/>
  <c r="F123" i="14" s="1"/>
  <c r="E9" i="17"/>
  <c r="S91" i="14"/>
  <c r="S94" i="14"/>
  <c r="S75" i="14"/>
  <c r="S78" i="14"/>
  <c r="S39" i="14"/>
  <c r="S47" i="14"/>
  <c r="S29" i="14"/>
  <c r="S31" i="14"/>
  <c r="S34" i="14"/>
  <c r="F61" i="14"/>
  <c r="S63" i="14"/>
  <c r="S70" i="14"/>
  <c r="S73" i="14"/>
  <c r="S26" i="14"/>
  <c r="S16" i="14"/>
  <c r="S13" i="14"/>
  <c r="S90" i="14"/>
  <c r="S20" i="14"/>
  <c r="S5" i="14"/>
  <c r="S7" i="14"/>
  <c r="G9" i="17"/>
  <c r="F9" i="17"/>
  <c r="D9" i="12"/>
  <c r="E2" i="12" s="1"/>
  <c r="H43" i="11"/>
  <c r="S122" i="14" l="1"/>
  <c r="S123" i="14" s="1"/>
  <c r="R123" i="14"/>
  <c r="S10" i="14"/>
  <c r="S85" i="14"/>
  <c r="S58" i="14"/>
  <c r="S61" i="14"/>
  <c r="E3" i="12"/>
  <c r="F3" i="12" s="1"/>
  <c r="G3" i="12" s="1"/>
  <c r="F36" i="11" s="1"/>
  <c r="E4" i="12"/>
  <c r="F4" i="12" s="1"/>
  <c r="G4" i="12" s="1"/>
  <c r="I36" i="11" s="1"/>
  <c r="E8" i="12"/>
  <c r="F8" i="12" s="1"/>
  <c r="G8" i="12" s="1"/>
  <c r="K36" i="11" s="1"/>
  <c r="F2" i="12"/>
  <c r="E5" i="12"/>
  <c r="F5" i="12" s="1"/>
  <c r="G5" i="12" s="1"/>
  <c r="J36" i="11" s="1"/>
  <c r="E7" i="12"/>
  <c r="F7" i="12" s="1"/>
  <c r="G7" i="12" s="1"/>
  <c r="G36" i="11" s="1"/>
  <c r="E6" i="12"/>
  <c r="F6" i="12" s="1"/>
  <c r="G6" i="12" s="1"/>
  <c r="H36" i="11" s="1"/>
  <c r="G2" i="12" l="1"/>
  <c r="F9" i="12"/>
  <c r="D10" i="12" s="1"/>
  <c r="E9" i="12"/>
  <c r="E36" i="11" l="1"/>
  <c r="L36" i="11" s="1"/>
  <c r="G9" i="12"/>
  <c r="B9" i="2" l="1"/>
  <c r="B5" i="2"/>
  <c r="B10" i="2" l="1"/>
  <c r="C3" i="2" l="1"/>
  <c r="C8" i="2"/>
  <c r="D8" i="2" s="1"/>
  <c r="E9" i="26"/>
  <c r="E23" i="26" s="1"/>
  <c r="C7" i="2"/>
  <c r="D7" i="2" s="1"/>
  <c r="C4" i="2"/>
  <c r="D4" i="2" s="1"/>
  <c r="C5" i="2"/>
  <c r="D5" i="2" s="1"/>
  <c r="C9" i="2"/>
  <c r="D9" i="2" s="1"/>
  <c r="E9" i="2" l="1"/>
  <c r="F9" i="2" s="1"/>
  <c r="F5" i="2"/>
  <c r="C10" i="2"/>
</calcChain>
</file>

<file path=xl/comments1.xml><?xml version="1.0" encoding="utf-8"?>
<comments xmlns="http://schemas.openxmlformats.org/spreadsheetml/2006/main">
  <authors>
    <author>Автор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добпавлено из 30 лет победы 41 150000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из 41 дома 150000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50000 из 41ма
</t>
        </r>
      </text>
    </comment>
    <comment ref="R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теплообменника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добавлно из 41 дома
</t>
        </r>
      </text>
    </comment>
    <comment ref="F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150000 из 41 дома
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из 41 дома 75000
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142676 из 30 лет Победы 41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эшонкулов рабочий
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скутина диспетчер
</t>
        </r>
      </text>
    </comment>
  </commentList>
</comments>
</file>

<file path=xl/sharedStrings.xml><?xml version="1.0" encoding="utf-8"?>
<sst xmlns="http://schemas.openxmlformats.org/spreadsheetml/2006/main" count="4096" uniqueCount="486">
  <si>
    <t>№ п/п</t>
  </si>
  <si>
    <t>Наименование параметра</t>
  </si>
  <si>
    <t>Ед. изм.</t>
  </si>
  <si>
    <t>Значение</t>
  </si>
  <si>
    <t>1.</t>
  </si>
  <si>
    <t>-</t>
  </si>
  <si>
    <t>Дата заполнения/внесения изменений</t>
  </si>
  <si>
    <t>2.</t>
  </si>
  <si>
    <t>3.</t>
  </si>
  <si>
    <t>4.</t>
  </si>
  <si>
    <t>5.</t>
  </si>
  <si>
    <t>6.</t>
  </si>
  <si>
    <t>7.</t>
  </si>
  <si>
    <t>8.</t>
  </si>
  <si>
    <t>Единица измерения</t>
  </si>
  <si>
    <t>руб.</t>
  </si>
  <si>
    <t>Вид коммунальной услуги</t>
  </si>
  <si>
    <t>9.</t>
  </si>
  <si>
    <t>10.</t>
  </si>
  <si>
    <t>11.</t>
  </si>
  <si>
    <t>12.</t>
  </si>
  <si>
    <t>Дата начала отчетного периода</t>
  </si>
  <si>
    <t>Дата конца отчетного периода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</si>
  <si>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</si>
  <si>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</si>
  <si>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</si>
  <si>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</si>
  <si>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</si>
  <si>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</si>
  <si>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т.ч.:</t>
  </si>
  <si>
    <t>денежных средств от потребителей</t>
  </si>
  <si>
    <t>13.</t>
  </si>
  <si>
    <t>целевых взносов от потребителей</t>
  </si>
  <si>
    <t>14.</t>
  </si>
  <si>
    <t>субсидий</t>
  </si>
  <si>
    <t>15.</t>
  </si>
  <si>
    <t>денежных средств от использования общего имущества</t>
  </si>
  <si>
    <t>прочие поступления</t>
  </si>
  <si>
    <t>16.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</si>
  <si>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</si>
  <si>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</si>
  <si>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</si>
  <si>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</si>
  <si>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Переходящие остатки денежных средств (на начало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</si>
  <si>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</si>
  <si>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</si>
  <si>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</si>
  <si>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</si>
  <si>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</si>
  <si>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</si>
  <si>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Исполнитель работы (услуги)</t>
  </si>
  <si>
    <t>23.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</si>
  <si>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</si>
  <si>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</si>
  <si>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</si>
  <si>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</si>
  <si>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25.</t>
  </si>
  <si>
    <t>Количество удовлетворенных претензий</t>
  </si>
  <si>
    <t>ед.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</si>
  <si>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</si>
  <si>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</si>
  <si>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</si>
  <si>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</si>
  <si>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</si>
  <si>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</si>
  <si>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29.</t>
  </si>
  <si>
    <t>переплата потребителям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</si>
  <si>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</si>
  <si>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</si>
  <si>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</si>
  <si>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</si>
  <si>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</si>
  <si>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</si>
  <si>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</si>
  <si>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</si>
  <si>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</si>
  <si>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Общий объем потребления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</si>
  <si>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</si>
  <si>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</si>
  <si>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</si>
  <si>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</si>
  <si>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</si>
  <si>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</si>
  <si>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</si>
  <si>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</si>
  <si>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</si>
  <si>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</si>
  <si>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</si>
  <si>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</si>
  <si>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</si>
  <si>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</si>
  <si>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</si>
  <si>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</si>
  <si>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</si>
  <si>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</si>
  <si>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</si>
  <si>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</si>
  <si>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</si>
  <si>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</si>
  <si>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</si>
  <si>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</si>
  <si>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</si>
  <si>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</si>
  <si>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</si>
  <si>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Переходящие остатки денежных средств (на начало периода), в том числе:</t>
  </si>
  <si>
    <t>Наименование атрибута</t>
  </si>
  <si>
    <t>29.02.2015 г.</t>
  </si>
  <si>
    <t>01.01.2015г.</t>
  </si>
  <si>
    <t>31.12.2015 г.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</si>
  <si>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</si>
  <si>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задолженность население на 01.01.2015 года</t>
  </si>
  <si>
    <t>ланина 16</t>
  </si>
  <si>
    <t>ленина 18</t>
  </si>
  <si>
    <t>30 лет победы 41</t>
  </si>
  <si>
    <t>30 лет победы 10</t>
  </si>
  <si>
    <t>сибирская 11Б</t>
  </si>
  <si>
    <t>сибирская 15</t>
  </si>
  <si>
    <t>университетская 11</t>
  </si>
  <si>
    <t>площадь</t>
  </si>
  <si>
    <t>процент</t>
  </si>
  <si>
    <t>задолженность на 01.01.2015 года+ начисления за 2015 год (из 1С 90.01 выручка)- оплата (отчёт из АИС плюс оплата встрек)</t>
  </si>
  <si>
    <t>итого за 2015 год д/б на 90.01 выручка 142309733,17руб (без консьержей, сантехники и прочего)</t>
  </si>
  <si>
    <t>консьержи</t>
  </si>
  <si>
    <t>наименование работ</t>
  </si>
  <si>
    <t>содержание конструктивных элементов жилых зданий</t>
  </si>
  <si>
    <t>содержание крыш</t>
  </si>
  <si>
    <t>содержание подвалов</t>
  </si>
  <si>
    <t>содержание мусоропроводов</t>
  </si>
  <si>
    <t>содержание систем вентиляции</t>
  </si>
  <si>
    <t>содержание ИТП</t>
  </si>
  <si>
    <t>Содержание внутридомовых систем холодного, горяего водоснабжения и водоотведения</t>
  </si>
  <si>
    <t>содержание внутридомовой инженерной системы отопления</t>
  </si>
  <si>
    <t>содержание элетрообородувания</t>
  </si>
  <si>
    <t>содержание коллективных (общедомовых) приборов учёта</t>
  </si>
  <si>
    <t xml:space="preserve">  -   холодной воды</t>
  </si>
  <si>
    <t xml:space="preserve"> - горячей воды</t>
  </si>
  <si>
    <t xml:space="preserve"> - тепловой энергии</t>
  </si>
  <si>
    <t xml:space="preserve"> - электрической энергии</t>
  </si>
  <si>
    <t>содержание автоматизированных узлов учёта</t>
  </si>
  <si>
    <t>содержание наружных сетей электроснабжения</t>
  </si>
  <si>
    <t>содержание наружных сетей тепловодоснабжения</t>
  </si>
  <si>
    <t>содержание и ремонт лифта</t>
  </si>
  <si>
    <t>содержание помещений, входящих в состав общего имущества</t>
  </si>
  <si>
    <t>уборка придомовой территории ручным способом</t>
  </si>
  <si>
    <t>мех уборка придомомвой территории</t>
  </si>
  <si>
    <t>содержание элементов и объектов благоутсройства</t>
  </si>
  <si>
    <t>сбор и вывоз ТБО</t>
  </si>
  <si>
    <t>осуществление аварийно-диспетчерского обслуживания</t>
  </si>
  <si>
    <t>содержание паспортной службы</t>
  </si>
  <si>
    <t xml:space="preserve">организация и осуществление расчётов за услуги и работы </t>
  </si>
  <si>
    <t>услуги по утилизации и захоронению ТБО</t>
  </si>
  <si>
    <t>Годовая стоимость работ</t>
  </si>
  <si>
    <t>Ленина 16</t>
  </si>
  <si>
    <t>Ленина 18</t>
  </si>
  <si>
    <t>30 лет Победы 10</t>
  </si>
  <si>
    <t>30 лет Победы 41</t>
  </si>
  <si>
    <t>Сибирская 11Б</t>
  </si>
  <si>
    <t>Сибирская 15</t>
  </si>
  <si>
    <t>Университетская 11</t>
  </si>
  <si>
    <t>адрес</t>
  </si>
  <si>
    <t>ИТОГО</t>
  </si>
  <si>
    <t>договор с КССиМ</t>
  </si>
  <si>
    <t>договор на обслуживание внутридомовых систем водоснабжения и водоотведения, санитарно-техническому оборудования жилых домов</t>
  </si>
  <si>
    <t>договор на выполнение работ по техническому обслуживанию и ремонту общедомовых приборов (узлов) коммерческого учёта тепловодоснабжения, индивидуальных тепловых пунктов</t>
  </si>
  <si>
    <t>ленина 16</t>
  </si>
  <si>
    <t>S</t>
  </si>
  <si>
    <t>%</t>
  </si>
  <si>
    <t>разбивка суммы по договору с Сервис-3 (паспортная служба)</t>
  </si>
  <si>
    <t>на 1 кв.м</t>
  </si>
  <si>
    <t>итого</t>
  </si>
  <si>
    <t>ГОД</t>
  </si>
  <si>
    <t>год ИТОГО</t>
  </si>
  <si>
    <t>осуществление деятельности по управлению многоквартирным домом, В ТОМ ЧИСЛЕ:</t>
  </si>
  <si>
    <t>содержание систем автоматической пожарной сигнализации и электрических систем дымоудаления ОстМастер</t>
  </si>
  <si>
    <t>сим</t>
  </si>
  <si>
    <t>сервис-3</t>
  </si>
  <si>
    <t>остмастер</t>
  </si>
  <si>
    <t>медосмотры Проэнергомед</t>
  </si>
  <si>
    <t>лифтремонт</t>
  </si>
  <si>
    <t>эконадзор</t>
  </si>
  <si>
    <t>организация мест для накопления ртутьсодержащих ламп:</t>
  </si>
  <si>
    <t>Кондратьева</t>
  </si>
  <si>
    <t>транссервис</t>
  </si>
  <si>
    <t>сибирская экологическая компания</t>
  </si>
  <si>
    <t>спецподъем (сосульки)</t>
  </si>
  <si>
    <t>дератизация и дезинсекция</t>
  </si>
  <si>
    <t>дезинсекция и дератизация (по 290 ПП входит в содержание помещений, входящих в состав общего имущества)</t>
  </si>
  <si>
    <t>Наше время</t>
  </si>
  <si>
    <t>ковальский (изготовление ключей)</t>
  </si>
  <si>
    <t>транспортные услуги (скочеляс О.П.)</t>
  </si>
  <si>
    <t>Связь-город (техническое обслуживание подвалов)</t>
  </si>
  <si>
    <t>материальные расходы</t>
  </si>
  <si>
    <t>обслуживание оргтехники</t>
  </si>
  <si>
    <t>альпинист (монтаж повреждений)</t>
  </si>
  <si>
    <t>альпинист очистка кровли от наледи</t>
  </si>
  <si>
    <t>снежные фигуры</t>
  </si>
  <si>
    <t>страхование лифтов (</t>
  </si>
  <si>
    <t>техническое освидетельствование (юграэкспертлифт)</t>
  </si>
  <si>
    <t>экспертиза узла учёта энергоносителя</t>
  </si>
  <si>
    <t>ЮГРАИНТРЕСТРОЙ промывка и опрессовка (п.19 работы, выполняемые в целях надлежащего содержания систем отпления)</t>
  </si>
  <si>
    <t>Связь-город (техническое обслуживание, аудио видеодомофоны)</t>
  </si>
  <si>
    <t>кондратьева</t>
  </si>
  <si>
    <t>проверка расходомера</t>
  </si>
  <si>
    <t>химическое исследование воды</t>
  </si>
  <si>
    <t>услуги АГП</t>
  </si>
  <si>
    <t>Сургутэлектротест (электротехнические испытания электрооборудования)</t>
  </si>
  <si>
    <t>стремление ввысь (очистка кровли)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</si>
  <si>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</si>
  <si>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</si>
  <si>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</si>
  <si>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</si>
  <si>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</si>
  <si>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</si>
  <si>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</si>
  <si>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счёт на сумму 25541,10</t>
  </si>
  <si>
    <t>офис</t>
  </si>
  <si>
    <t>август разбивка</t>
  </si>
  <si>
    <t>сентябрь разбивка</t>
  </si>
  <si>
    <t>логотип на одежду</t>
  </si>
  <si>
    <t>11.08.2015 года</t>
  </si>
  <si>
    <t>проверка узла учёта ПРЭМ ИТП</t>
  </si>
  <si>
    <t>медосмотры</t>
  </si>
  <si>
    <t>благоустройство снежные фигуры</t>
  </si>
  <si>
    <t>жемчужина корпоратив</t>
  </si>
  <si>
    <t>корпоратив</t>
  </si>
  <si>
    <t>сканер+монитор</t>
  </si>
  <si>
    <t>спецоценка</t>
  </si>
  <si>
    <t>озеленение</t>
  </si>
  <si>
    <t>промывка и опрессовка</t>
  </si>
  <si>
    <t>альпинист монтаж поврежденного элемента</t>
  </si>
  <si>
    <t>видеонаблюдение паркинг</t>
  </si>
  <si>
    <t>начисления</t>
  </si>
  <si>
    <t>год</t>
  </si>
  <si>
    <t>год 2015</t>
  </si>
  <si>
    <t xml:space="preserve">июнь </t>
  </si>
  <si>
    <t>июнь разбивка</t>
  </si>
  <si>
    <t>часов в год консьержи</t>
  </si>
  <si>
    <t>в месяц</t>
  </si>
  <si>
    <t>в неделю</t>
  </si>
  <si>
    <t>меньше</t>
  </si>
  <si>
    <t>ремонт теплообменника</t>
  </si>
  <si>
    <t>аудиодомофоны</t>
  </si>
  <si>
    <t>видеодомофоны</t>
  </si>
  <si>
    <t>аудиодомофон</t>
  </si>
  <si>
    <t>видеодомофон</t>
  </si>
  <si>
    <t>Церта</t>
  </si>
  <si>
    <t>ДЕРАТИЗАЦИЯ</t>
  </si>
  <si>
    <t>ГОД 2015</t>
  </si>
  <si>
    <t>июль разбивка</t>
  </si>
  <si>
    <t>логотип на одежду дворники</t>
  </si>
  <si>
    <t>СОДЕРЖАНИЕ ИТП</t>
  </si>
  <si>
    <t>проверка узла учёта ПРЭМ и ИТП</t>
  </si>
  <si>
    <t>озеленение придомовой территории</t>
  </si>
  <si>
    <t>представительские расходы</t>
  </si>
  <si>
    <t>сканер, монитор</t>
  </si>
  <si>
    <t>замена кнопок</t>
  </si>
  <si>
    <t>аудоидомофон</t>
  </si>
  <si>
    <t>видеонаблюдение</t>
  </si>
  <si>
    <t>спецоценка условий труда</t>
  </si>
  <si>
    <t>командировочные расходы</t>
  </si>
  <si>
    <t>затраты на отправку писем для собственников</t>
  </si>
  <si>
    <t>аренда нежилого помещения</t>
  </si>
  <si>
    <t>аренда офиса</t>
  </si>
  <si>
    <t>канцтовары офис</t>
  </si>
  <si>
    <t>материальные расходы (диспетчерская)</t>
  </si>
  <si>
    <t>медосмотр</t>
  </si>
  <si>
    <t>обслуживание огртехники</t>
  </si>
  <si>
    <t>обучение сотрудников</t>
  </si>
  <si>
    <t xml:space="preserve">оплата льготного проезда Маковей </t>
  </si>
  <si>
    <t>оплата льготного проезда</t>
  </si>
  <si>
    <t>подписка журналов</t>
  </si>
  <si>
    <t>програмное обслуживание</t>
  </si>
  <si>
    <t>услуги банка</t>
  </si>
  <si>
    <t>услуги комиссионеров</t>
  </si>
  <si>
    <t>услуги РКЦ</t>
  </si>
  <si>
    <t>услуги связи</t>
  </si>
  <si>
    <t>на всё</t>
  </si>
  <si>
    <t>организация расчётов</t>
  </si>
  <si>
    <t xml:space="preserve">должно быть на 26 счёте без з/п </t>
  </si>
  <si>
    <t xml:space="preserve">должно быть на 20 счёте без з/п </t>
  </si>
  <si>
    <t>Адрес</t>
  </si>
  <si>
    <t>Организация расчётов</t>
  </si>
  <si>
    <t>Накладные расходы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</si>
  <si>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</si>
  <si>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расчёт по площади 1 и 2 ввод 30 лет Победы 10</t>
  </si>
  <si>
    <t>1 ввод</t>
  </si>
  <si>
    <t>2 ввод</t>
  </si>
  <si>
    <t>з/п мастеров</t>
  </si>
  <si>
    <t>з/п АУП</t>
  </si>
  <si>
    <t>итого з/п (накладные расходы)</t>
  </si>
  <si>
    <t>обслуживание узла учёта з/п</t>
  </si>
  <si>
    <t>ФОТ на обслуживание узла учёта</t>
  </si>
  <si>
    <t>ФОТ</t>
  </si>
  <si>
    <t>фот</t>
  </si>
  <si>
    <t>фот накладные</t>
  </si>
  <si>
    <t>ОстМастер</t>
  </si>
  <si>
    <t>ФОТ накладные</t>
  </si>
  <si>
    <t>26 счёт накладные</t>
  </si>
  <si>
    <t>26 накладные</t>
  </si>
  <si>
    <t>содержание систем автоматической пожарной сигнализации и электрических систем дымоудаления</t>
  </si>
  <si>
    <t>ремонт и обслуживание конст. Элементов</t>
  </si>
  <si>
    <t>ремонт и обсл. Кровель</t>
  </si>
  <si>
    <t>обсл. Подвалов</t>
  </si>
  <si>
    <t>обслуж.внутридом.электрооборудования</t>
  </si>
  <si>
    <t>уборка придомовой территории</t>
  </si>
  <si>
    <t>уборка мусорокамер</t>
  </si>
  <si>
    <t>РКУ общего имущества</t>
  </si>
  <si>
    <t>РКУ офис</t>
  </si>
  <si>
    <t>АДС</t>
  </si>
  <si>
    <t xml:space="preserve">фот </t>
  </si>
  <si>
    <t>фот диспетчера</t>
  </si>
  <si>
    <t>фот накладные+дворники</t>
  </si>
  <si>
    <t>фот уборщицы офис</t>
  </si>
  <si>
    <t>91.1. прочие расходы</t>
  </si>
  <si>
    <t>91.1 прочие расходы</t>
  </si>
  <si>
    <t>электроэнергия</t>
  </si>
  <si>
    <t>Кват/час</t>
  </si>
  <si>
    <t>оплата 2015 год</t>
  </si>
  <si>
    <t>встройки</t>
  </si>
  <si>
    <t>население</t>
  </si>
  <si>
    <t>содержание</t>
  </si>
  <si>
    <t>комуналка</t>
  </si>
  <si>
    <t>горячая вода</t>
  </si>
  <si>
    <t>отопление</t>
  </si>
  <si>
    <t>холодная вода</t>
  </si>
  <si>
    <t>водоотведение</t>
  </si>
  <si>
    <t>ГТС</t>
  </si>
  <si>
    <t>Горводоканал</t>
  </si>
  <si>
    <t>Тюменьэнергосбыт</t>
  </si>
  <si>
    <t>оплата поставщику за 2015</t>
  </si>
  <si>
    <t>задолженность перед поставщиком</t>
  </si>
  <si>
    <t>м3</t>
  </si>
  <si>
    <t>ХВС</t>
  </si>
  <si>
    <t>ГВС</t>
  </si>
  <si>
    <t>итого по всем ресурсам</t>
  </si>
  <si>
    <t>задолженность 2015 года</t>
  </si>
  <si>
    <t>Задолженность населения коммуналка</t>
  </si>
  <si>
    <t>задолженность населения+встройки на 31.12.2015 года</t>
  </si>
  <si>
    <t xml:space="preserve">оплата поставщику 2015 </t>
  </si>
  <si>
    <t>задолженность перед поставщиком 2015</t>
  </si>
  <si>
    <t xml:space="preserve">отопление </t>
  </si>
  <si>
    <t>Гкал</t>
  </si>
  <si>
    <t>Водоотведение</t>
  </si>
  <si>
    <t>Отопление</t>
  </si>
  <si>
    <t>Электроэнергия</t>
  </si>
  <si>
    <t>Водоотвдение</t>
  </si>
  <si>
    <t>гвс</t>
  </si>
  <si>
    <t>Информация о предоставленных коммунальных услугах (заполняется по каждой коммунальной услуге) 30 лет победы 10</t>
  </si>
  <si>
    <t>Информация о предоставленных коммунальных услугах (заполняется по каждой коммунальной услуге) 30 лет победы 41</t>
  </si>
  <si>
    <t>Информация о предоставленных коммунальных услугах (заполняется по каждой коммунальной услуге)ленина 16</t>
  </si>
  <si>
    <t>Информация о предоставленных коммунальных услугах (заполняется по каждой коммунальной услуге) ленина 18</t>
  </si>
  <si>
    <t>Информация о предоставленных коммунальных услугах (заполняется по каждой коммунальной услуге) сибирская11б</t>
  </si>
  <si>
    <t>Информация о предоставленных коммунальных услугах (заполняется по каждой коммунальной услуге) сибирская 15</t>
  </si>
  <si>
    <t>Информация о предоставленных коммунальных услугах (заполняется по каждой коммунальной услуге)университетская 11</t>
  </si>
  <si>
    <t>Общая информация по предоставленным коммунальным услугам ленина 16</t>
  </si>
  <si>
    <t>Общая информация по предоставленным коммунальным услугам ленина 18</t>
  </si>
  <si>
    <t>Общая информация по предоставленным коммунальным услугам сиб 11б</t>
  </si>
  <si>
    <t>Общая информация по предоставленным коммунальным услугам сиб 15</t>
  </si>
  <si>
    <t>Общая информация по предоставленным коммунальным услугам универ 11</t>
  </si>
  <si>
    <t>Общая информация о выполняемых работах (оказываемых услугах) по содержанию и текущему ремонту общего имущества 41</t>
  </si>
  <si>
    <t>Общая информация о выполняемых работах (оказываемых услугах) по содержанию и текущему ремонту общего имущества 18</t>
  </si>
  <si>
    <t>Общая информация о выполняемых работах (оказываемых услугах) по содержанию и текущему ремонту общего имущества сиб11б</t>
  </si>
  <si>
    <t>Общая информация о выполняемых работах (оказываемых услугах) по содержанию и текущему ремонту общего имущества сиб15</t>
  </si>
  <si>
    <t>Общая информация о выполняемых работах (оказываемых услугах) по содержанию и текущему ремонту общего имущества универ 11</t>
  </si>
  <si>
    <t>конструктив 5,82 14,76% от тарифа</t>
  </si>
  <si>
    <t>с НДС</t>
  </si>
  <si>
    <t>Общая информация о выполняемых работах (оказываемых услугах) по содержанию и текущему ремонту общего имущества 10</t>
  </si>
  <si>
    <t>задолженность население на 01.01.2016 года</t>
  </si>
  <si>
    <t>задолженность встройки+гаражи на 01.01.2016г.</t>
  </si>
  <si>
    <t>Общая информация о выполняемых работах (оказываемых услугах) по содержанию и текущему ремонту общего имущества в МКД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</si>
  <si>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</si>
  <si>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</si>
  <si>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года)</t>
  </si>
  <si>
    <t xml:space="preserve">4. </t>
  </si>
  <si>
    <t>задолженность потребителей на начало периода</t>
  </si>
  <si>
    <t xml:space="preserve">5. </t>
  </si>
  <si>
    <t>разбивка сумм содержание и управление</t>
  </si>
  <si>
    <t>тариф</t>
  </si>
  <si>
    <t>30 лет Победы 10 1 ввод</t>
  </si>
  <si>
    <t>30 лет Победы 10 2 ввод</t>
  </si>
  <si>
    <t>сумма</t>
  </si>
  <si>
    <t>Авансовые платежи потребителей (на конец периода)</t>
  </si>
  <si>
    <t>задолженность потребителей на конец периода</t>
  </si>
  <si>
    <t xml:space="preserve">руб. </t>
  </si>
  <si>
    <t>задолженность население на 31.12.2016 года</t>
  </si>
  <si>
    <t>задолженность встройки+гаражи на31.12.2016г.</t>
  </si>
  <si>
    <t>62 счёт 1С за 2016 год</t>
  </si>
  <si>
    <t>Годовая фактическая стоимость работ (услуг)</t>
  </si>
  <si>
    <t xml:space="preserve"> Содержание конструктивных элементов жилых зданий</t>
  </si>
  <si>
    <t>( за  исключением  крыш  и подвалов)</t>
  </si>
  <si>
    <t xml:space="preserve"> Содержание  крыш</t>
  </si>
  <si>
    <t xml:space="preserve"> Содержание  подвалов </t>
  </si>
  <si>
    <t xml:space="preserve"> Содержание  мусоропроводов</t>
  </si>
  <si>
    <t xml:space="preserve"> Содержание  систем  вентиляции  (дымоудаление)</t>
  </si>
  <si>
    <t xml:space="preserve"> Содержание  индивидуальных  тепловых  пунктов</t>
  </si>
  <si>
    <t xml:space="preserve"> Содержание внутридомовых систем холодного, горячего водоснабжения и водоотведения</t>
  </si>
  <si>
    <t xml:space="preserve"> Содержание внутридом. инженерной системы  отопления</t>
  </si>
  <si>
    <t xml:space="preserve"> Содержание электрооборудования (включая телекоммуникационное)</t>
  </si>
  <si>
    <t xml:space="preserve"> Содержание коллективных (общедомовых) приборов учета</t>
  </si>
  <si>
    <t xml:space="preserve">         Холодной  воды  </t>
  </si>
  <si>
    <t xml:space="preserve">         Горячей  воды  </t>
  </si>
  <si>
    <t xml:space="preserve">         Тепловой  энергии   </t>
  </si>
  <si>
    <t xml:space="preserve">         Электрической  энергии</t>
  </si>
  <si>
    <t xml:space="preserve"> Содержание автоматизированных  узлов  учета </t>
  </si>
  <si>
    <t xml:space="preserve"> Содержание  наружных  сетей  электроснабжения</t>
  </si>
  <si>
    <t xml:space="preserve"> Содержание  наружных  сетей  тепловодоснабжения</t>
  </si>
  <si>
    <t xml:space="preserve"> Содержание и ремонт лифта</t>
  </si>
  <si>
    <t xml:space="preserve"> Содержание помещений, входящих в состав общего имущества</t>
  </si>
  <si>
    <t xml:space="preserve"> Уборка придомовой территории ручным способом</t>
  </si>
  <si>
    <t xml:space="preserve"> Мех. уборка придомовой территории в холодный период года</t>
  </si>
  <si>
    <t xml:space="preserve"> Содержание элементов и объектов благоустрой-ства, расположенных на придомовой территории и предназначенных для обслуживания и эксплуатации многоквартирного дома</t>
  </si>
  <si>
    <t xml:space="preserve"> Сбор и вывоз ТБО (в т.ч. крупногабаритного мусора)</t>
  </si>
  <si>
    <t xml:space="preserve"> Организация мест для накопления, накопление отработанных ртутьсодержащих ламп и их передача в спец. организации на утилизацию</t>
  </si>
  <si>
    <t xml:space="preserve"> Осуществление  аварийно-диспетчерского  обслуживания</t>
  </si>
  <si>
    <t xml:space="preserve"> Осуществление деятельности по управлению многоквартирным домом</t>
  </si>
  <si>
    <t>Периодичность выполнения работ (оказания услуг)</t>
  </si>
  <si>
    <t>Еденица измерения</t>
  </si>
  <si>
    <t>Стоимость на еденицу измерения</t>
  </si>
  <si>
    <t>постоянно</t>
  </si>
  <si>
    <t>постоянно, согласно плана мероприятий, по графику</t>
  </si>
  <si>
    <t>Тариф</t>
  </si>
  <si>
    <t>Тариф (руб/кв.м.)</t>
  </si>
  <si>
    <t>по графику</t>
  </si>
  <si>
    <t>круглосуточно</t>
  </si>
  <si>
    <t xml:space="preserve">постоянно, согласно плану восстановительных работ
</t>
  </si>
  <si>
    <t>постоянно, по мере необходимости</t>
  </si>
  <si>
    <t>постоянно, по мере необходимости, незамедлительно</t>
  </si>
  <si>
    <t>постоянно, согласно плана восстановительных работ</t>
  </si>
  <si>
    <t>постянно, круглосуточно</t>
  </si>
  <si>
    <t>Наименование работ (услуг)</t>
  </si>
  <si>
    <t>Периодичность</t>
  </si>
  <si>
    <t>Тариф, руб/кв.м.</t>
  </si>
  <si>
    <t>Содержание систем автоматической пожарной сигнализации и электрических систем дымоудаления</t>
  </si>
  <si>
    <t>Тариф руб/кв.м.</t>
  </si>
  <si>
    <t>(за исключением крыш и подвалов)</t>
  </si>
  <si>
    <t>Содержание системы автоматической пожарной сигнализации и электрических систем дымоудаления</t>
  </si>
  <si>
    <t>Общая информация по предоставленным коммунальным услугам:</t>
  </si>
  <si>
    <t>Авансовые платежи потребителей ( на начало периода)</t>
  </si>
  <si>
    <t>Авансовые платежи потребителей ( на конец периода)</t>
  </si>
  <si>
    <t>Авансовые платежи потребителей (на начало  периода)</t>
  </si>
  <si>
    <t>Задолженность потребителей (на начало потребителей)</t>
  </si>
  <si>
    <t>Переходящие остатки денежных средств (на конец периода)</t>
  </si>
  <si>
    <t>Задолженность потребителей (на конец потребителей)</t>
  </si>
  <si>
    <t>Авансовые платежи потребителей (на конец  периода)</t>
  </si>
  <si>
    <t xml:space="preserve">Размер пени и штрафов, уплаченные поставщику (поставщикам) коммунального ресурса </t>
  </si>
  <si>
    <t>57.</t>
  </si>
  <si>
    <t>51.</t>
  </si>
  <si>
    <t>52.</t>
  </si>
  <si>
    <t>53.</t>
  </si>
  <si>
    <t>восток задолженность на 31.12.16</t>
  </si>
  <si>
    <t>оплата ГТС</t>
  </si>
  <si>
    <t>оплата Восток</t>
  </si>
  <si>
    <t>оплата Горводоканал ХВС</t>
  </si>
  <si>
    <t>оплата Горводоканал В/О</t>
  </si>
  <si>
    <t>восток задолженность на 01.01.2016г.</t>
  </si>
  <si>
    <t>оплата</t>
  </si>
  <si>
    <t>Горводоканал задолженность на 01.01.2016г.</t>
  </si>
  <si>
    <t>горводоканал задолженность на 31.12.16</t>
  </si>
  <si>
    <t>Горводоканал  задолженность на 31.12.16</t>
  </si>
  <si>
    <t>ГТС задолженность на 31.12.16</t>
  </si>
  <si>
    <t>тепло</t>
  </si>
  <si>
    <t>начисленно</t>
  </si>
  <si>
    <t>ГТС задолженность на 01.01.2017г.</t>
  </si>
  <si>
    <t>ГТС задолженность на 31.12.17</t>
  </si>
  <si>
    <t>горводоканал задолженность на 31.12.17</t>
  </si>
  <si>
    <t>Горводоканал задолженность на 01.01.2017г.</t>
  </si>
  <si>
    <t>Водоканал задолженность на 01.01.2017г.</t>
  </si>
  <si>
    <t>Горводоканал задолженность на 31.12.17</t>
  </si>
  <si>
    <t>01.03.2021 г.</t>
  </si>
  <si>
    <t>01.01.2020 г.</t>
  </si>
  <si>
    <t>31.12.2020 г.</t>
  </si>
  <si>
    <t>гГкал</t>
  </si>
  <si>
    <t>01.03.2021г.</t>
  </si>
  <si>
    <t xml:space="preserve">задолженность потребителей на конец периода </t>
  </si>
  <si>
    <t>Форма 2.8. Отчет об исполнении управляющей организацией договора управления, Сибирская 15 за 2020</t>
  </si>
  <si>
    <t>Форма 2.8. Отчет об исполнении управляющей организацией договора управления,  Сибирская 11Б за 2020</t>
  </si>
  <si>
    <t>Форма 2.8. Отчет об исполнении управляющей организацией договора управления  30 лет Победы 41 за 2020 год</t>
  </si>
  <si>
    <t>Форма 2.8. Отчет об исполнении управляющей организацией договора управления  30 лет Победы 10 за 2020 год</t>
  </si>
  <si>
    <t>Форма 2.8. Отчет об исполнении управляющей организацией договора управления, Ленина 16 за 2020</t>
  </si>
  <si>
    <t>Форма 2.8. Отчет об исполнении управляющей организацией договора управления,  Ленина 18 за 2020 год</t>
  </si>
  <si>
    <t>Форма 2.8. Отчет об исполнении управляющей организацией договора управления,  Тихий дом 2 за 2020г</t>
  </si>
  <si>
    <t>Общая информация о выполняемых работах (оказываемых услугах) по содержанию и текущему ремонту общего имущества Тихий 2</t>
  </si>
  <si>
    <t>Форма 2.8. Отчет об исполнении управляющей организацией договора управления,  Университетская 11 за 2020</t>
  </si>
  <si>
    <t>01.01.2020г.</t>
  </si>
  <si>
    <t xml:space="preserve">Общая информация по предоставленным коммунальным услугам </t>
  </si>
  <si>
    <t xml:space="preserve">Общая информация о выполняемых работах (оказываемых услугах) по содержанию и текущему ремонту общего имущества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</si>
</sst>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3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621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7" fillId="0" borderId="1" xfId="0" applyFont="1" applyBorder="1"/>
    <xf numFmtId="4" fontId="0" fillId="0" borderId="1" xfId="0" applyNumberFormat="1" applyBorder="1"/>
    <xf numFmtId="2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8" fillId="0" borderId="1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7" fillId="0" borderId="1" xfId="0" applyFont="1" applyFill="1" applyBorder="1"/>
    <xf numFmtId="0" fontId="7" fillId="0" borderId="0" xfId="0" applyFont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3" xfId="0" applyFill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1" xfId="0" applyFont="1" applyBorder="1"/>
    <xf numFmtId="1" fontId="9" fillId="0" borderId="1" xfId="0" applyNumberFormat="1" applyFont="1" applyBorder="1"/>
    <xf numFmtId="2" fontId="10" fillId="0" borderId="1" xfId="0" applyNumberFormat="1" applyFont="1" applyBorder="1"/>
    <xf numFmtId="4" fontId="9" fillId="0" borderId="1" xfId="0" applyNumberFormat="1" applyFont="1" applyBorder="1"/>
    <xf numFmtId="2" fontId="9" fillId="0" borderId="1" xfId="0" applyNumberFormat="1" applyFont="1" applyBorder="1"/>
    <xf numFmtId="0" fontId="9" fillId="0" borderId="0" xfId="0" applyFont="1"/>
    <xf numFmtId="2" fontId="10" fillId="0" borderId="0" xfId="0" applyNumberFormat="1" applyFont="1"/>
    <xf numFmtId="4" fontId="0" fillId="0" borderId="1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7" fillId="0" borderId="0" xfId="0" applyNumberFormat="1" applyFont="1"/>
    <xf numFmtId="0" fontId="6" fillId="0" borderId="0" xfId="0" applyFont="1"/>
    <xf numFmtId="4" fontId="6" fillId="0" borderId="1" xfId="0" applyNumberFormat="1" applyFont="1" applyBorder="1" applyAlignment="1">
      <alignment wrapText="1"/>
    </xf>
    <xf numFmtId="4" fontId="6" fillId="0" borderId="9" xfId="0" applyNumberFormat="1" applyFont="1" applyBorder="1" applyAlignment="1">
      <alignment wrapText="1"/>
    </xf>
    <xf numFmtId="4" fontId="6" fillId="0" borderId="0" xfId="0" applyNumberFormat="1" applyFont="1"/>
    <xf numFmtId="4" fontId="0" fillId="0" borderId="1" xfId="0" applyNumberFormat="1" applyFill="1" applyBorder="1" applyAlignment="1">
      <alignment wrapText="1"/>
    </xf>
    <xf numFmtId="4" fontId="6" fillId="0" borderId="9" xfId="0" applyNumberFormat="1" applyFont="1" applyFill="1" applyBorder="1" applyAlignment="1">
      <alignment wrapText="1"/>
    </xf>
    <xf numFmtId="4" fontId="0" fillId="0" borderId="9" xfId="0" applyNumberFormat="1" applyFill="1" applyBorder="1" applyAlignment="1">
      <alignment wrapText="1"/>
    </xf>
    <xf numFmtId="0" fontId="0" fillId="0" borderId="3" xfId="0" applyBorder="1"/>
    <xf numFmtId="0" fontId="0" fillId="0" borderId="19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14" fontId="0" fillId="0" borderId="0" xfId="0" applyNumberFormat="1"/>
    <xf numFmtId="1" fontId="9" fillId="0" borderId="0" xfId="0" applyNumberFormat="1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1" fontId="0" fillId="0" borderId="1" xfId="0" applyNumberFormat="1" applyBorder="1"/>
    <xf numFmtId="1" fontId="0" fillId="2" borderId="6" xfId="0" applyNumberFormat="1" applyFill="1" applyBorder="1"/>
    <xf numFmtId="0" fontId="8" fillId="0" borderId="0" xfId="0" applyFont="1"/>
    <xf numFmtId="0" fontId="8" fillId="0" borderId="4" xfId="0" applyFont="1" applyBorder="1"/>
    <xf numFmtId="0" fontId="8" fillId="0" borderId="0" xfId="0" applyFont="1" applyFill="1"/>
    <xf numFmtId="0" fontId="8" fillId="0" borderId="1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6" xfId="0" applyFont="1" applyBorder="1"/>
    <xf numFmtId="1" fontId="0" fillId="0" borderId="0" xfId="0" applyNumberFormat="1"/>
    <xf numFmtId="1" fontId="9" fillId="0" borderId="15" xfId="0" applyNumberFormat="1" applyFont="1" applyBorder="1"/>
    <xf numFmtId="1" fontId="9" fillId="0" borderId="26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4" fontId="0" fillId="0" borderId="0" xfId="0" applyNumberFormat="1" applyBorder="1" applyAlignment="1">
      <alignment wrapText="1"/>
    </xf>
    <xf numFmtId="0" fontId="8" fillId="0" borderId="0" xfId="0" applyFont="1" applyFill="1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0" fillId="0" borderId="32" xfId="0" applyBorder="1"/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2" borderId="5" xfId="0" applyFill="1" applyBorder="1"/>
    <xf numFmtId="1" fontId="0" fillId="0" borderId="34" xfId="0" applyNumberFormat="1" applyBorder="1"/>
    <xf numFmtId="0" fontId="0" fillId="0" borderId="34" xfId="0" applyBorder="1"/>
    <xf numFmtId="4" fontId="13" fillId="3" borderId="6" xfId="0" applyNumberFormat="1" applyFont="1" applyFill="1" applyBorder="1" applyAlignment="1">
      <alignment wrapText="1"/>
    </xf>
    <xf numFmtId="4" fontId="13" fillId="3" borderId="7" xfId="0" applyNumberFormat="1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35" xfId="0" applyBorder="1"/>
    <xf numFmtId="0" fontId="0" fillId="0" borderId="36" xfId="0" applyBorder="1"/>
    <xf numFmtId="0" fontId="8" fillId="0" borderId="36" xfId="0" applyFont="1" applyBorder="1"/>
    <xf numFmtId="0" fontId="0" fillId="0" borderId="38" xfId="0" applyBorder="1" applyAlignment="1">
      <alignment wrapText="1"/>
    </xf>
    <xf numFmtId="0" fontId="0" fillId="0" borderId="39" xfId="0" applyBorder="1"/>
    <xf numFmtId="0" fontId="8" fillId="0" borderId="39" xfId="0" applyFont="1" applyBorder="1"/>
    <xf numFmtId="1" fontId="9" fillId="0" borderId="16" xfId="0" applyNumberFormat="1" applyFont="1" applyBorder="1" applyAlignment="1">
      <alignment horizontal="left"/>
    </xf>
    <xf numFmtId="1" fontId="0" fillId="2" borderId="25" xfId="0" applyNumberFormat="1" applyFill="1" applyBorder="1"/>
    <xf numFmtId="0" fontId="0" fillId="0" borderId="33" xfId="0" applyBorder="1"/>
    <xf numFmtId="1" fontId="9" fillId="0" borderId="42" xfId="0" applyNumberFormat="1" applyFont="1" applyBorder="1" applyAlignment="1">
      <alignment horizontal="left"/>
    </xf>
    <xf numFmtId="1" fontId="0" fillId="0" borderId="4" xfId="0" applyNumberFormat="1" applyBorder="1"/>
    <xf numFmtId="1" fontId="0" fillId="2" borderId="41" xfId="0" applyNumberFormat="1" applyFill="1" applyBorder="1"/>
    <xf numFmtId="1" fontId="0" fillId="0" borderId="41" xfId="0" applyNumberFormat="1" applyBorder="1"/>
    <xf numFmtId="0" fontId="0" fillId="0" borderId="41" xfId="0" applyBorder="1"/>
    <xf numFmtId="0" fontId="8" fillId="2" borderId="6" xfId="0" applyFont="1" applyFill="1" applyBorder="1"/>
    <xf numFmtId="0" fontId="8" fillId="0" borderId="37" xfId="0" applyFont="1" applyBorder="1"/>
    <xf numFmtId="0" fontId="8" fillId="0" borderId="40" xfId="0" applyFont="1" applyBorder="1"/>
    <xf numFmtId="0" fontId="14" fillId="0" borderId="0" xfId="0" applyFont="1" applyBorder="1"/>
    <xf numFmtId="0" fontId="14" fillId="0" borderId="4" xfId="0" applyFont="1" applyBorder="1"/>
    <xf numFmtId="0" fontId="14" fillId="0" borderId="0" xfId="0" applyFont="1"/>
    <xf numFmtId="0" fontId="14" fillId="0" borderId="43" xfId="0" applyFont="1" applyBorder="1"/>
    <xf numFmtId="0" fontId="14" fillId="0" borderId="44" xfId="0" applyFont="1" applyBorder="1"/>
    <xf numFmtId="1" fontId="14" fillId="0" borderId="1" xfId="0" applyNumberFormat="1" applyFont="1" applyBorder="1"/>
    <xf numFmtId="1" fontId="14" fillId="0" borderId="6" xfId="0" applyNumberFormat="1" applyFont="1" applyBorder="1"/>
    <xf numFmtId="4" fontId="0" fillId="0" borderId="15" xfId="0" applyNumberFormat="1" applyFill="1" applyBorder="1" applyAlignment="1">
      <alignment wrapText="1"/>
    </xf>
    <xf numFmtId="0" fontId="7" fillId="2" borderId="13" xfId="0" applyFont="1" applyFill="1" applyBorder="1"/>
    <xf numFmtId="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4" fontId="7" fillId="2" borderId="1" xfId="0" applyNumberFormat="1" applyFont="1" applyFill="1" applyBorder="1"/>
    <xf numFmtId="4" fontId="0" fillId="0" borderId="4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7" fillId="2" borderId="6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15" fillId="0" borderId="1" xfId="0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1" fontId="7" fillId="0" borderId="1" xfId="0" applyNumberFormat="1" applyFont="1" applyBorder="1"/>
    <xf numFmtId="1" fontId="7" fillId="0" borderId="1" xfId="0" applyNumberFormat="1" applyFont="1" applyFill="1" applyBorder="1"/>
    <xf numFmtId="4" fontId="7" fillId="0" borderId="0" xfId="0" applyNumberFormat="1" applyFont="1" applyAlignment="1">
      <alignment wrapText="1"/>
    </xf>
    <xf numFmtId="4" fontId="0" fillId="0" borderId="6" xfId="0" applyNumberFormat="1" applyBorder="1" applyAlignment="1">
      <alignment horizontal="center"/>
    </xf>
    <xf numFmtId="3" fontId="7" fillId="0" borderId="0" xfId="0" applyNumberFormat="1" applyFont="1"/>
    <xf numFmtId="4" fontId="0" fillId="0" borderId="15" xfId="0" applyNumberFormat="1" applyBorder="1" applyAlignment="1">
      <alignment wrapText="1"/>
    </xf>
    <xf numFmtId="0" fontId="0" fillId="2" borderId="13" xfId="0" applyFill="1" applyBorder="1"/>
    <xf numFmtId="0" fontId="0" fillId="2" borderId="14" xfId="0" applyFill="1" applyBorder="1"/>
    <xf numFmtId="0" fontId="0" fillId="2" borderId="4" xfId="0" applyFill="1" applyBorder="1"/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15" xfId="0" applyFont="1" applyFill="1" applyBorder="1"/>
    <xf numFmtId="0" fontId="0" fillId="0" borderId="9" xfId="0" applyFill="1" applyBorder="1"/>
    <xf numFmtId="0" fontId="7" fillId="0" borderId="0" xfId="0" applyFont="1" applyFill="1"/>
    <xf numFmtId="0" fontId="0" fillId="0" borderId="0" xfId="0" applyFill="1"/>
    <xf numFmtId="0" fontId="0" fillId="0" borderId="19" xfId="0" applyFill="1" applyBorder="1"/>
    <xf numFmtId="4" fontId="7" fillId="0" borderId="1" xfId="0" applyNumberFormat="1" applyFont="1" applyFill="1" applyBorder="1"/>
    <xf numFmtId="4" fontId="0" fillId="0" borderId="26" xfId="0" applyNumberFormat="1" applyBorder="1" applyAlignment="1">
      <alignment wrapText="1"/>
    </xf>
    <xf numFmtId="4" fontId="7" fillId="0" borderId="3" xfId="0" applyNumberFormat="1" applyFont="1" applyFill="1" applyBorder="1" applyAlignment="1">
      <alignment wrapText="1"/>
    </xf>
    <xf numFmtId="4" fontId="7" fillId="0" borderId="50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4" fontId="0" fillId="0" borderId="50" xfId="0" applyNumberForma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0" fontId="5" fillId="0" borderId="0" xfId="0" applyFont="1" applyFill="1"/>
    <xf numFmtId="0" fontId="7" fillId="0" borderId="13" xfId="0" applyFont="1" applyFill="1" applyBorder="1"/>
    <xf numFmtId="0" fontId="5" fillId="0" borderId="4" xfId="0" applyFont="1" applyFill="1" applyBorder="1"/>
    <xf numFmtId="0" fontId="5" fillId="0" borderId="26" xfId="0" applyFont="1" applyFill="1" applyBorder="1"/>
    <xf numFmtId="0" fontId="0" fillId="0" borderId="51" xfId="0" applyBorder="1"/>
    <xf numFmtId="4" fontId="5" fillId="0" borderId="1" xfId="0" applyNumberFormat="1" applyFont="1" applyFill="1" applyBorder="1"/>
    <xf numFmtId="4" fontId="5" fillId="0" borderId="15" xfId="0" applyNumberFormat="1" applyFont="1" applyFill="1" applyBorder="1"/>
    <xf numFmtId="0" fontId="0" fillId="2" borderId="9" xfId="0" applyFill="1" applyBorder="1"/>
    <xf numFmtId="4" fontId="0" fillId="0" borderId="53" xfId="0" applyNumberFormat="1" applyBorder="1"/>
    <xf numFmtId="2" fontId="0" fillId="0" borderId="0" xfId="0" applyNumberFormat="1" applyAlignment="1">
      <alignment wrapText="1"/>
    </xf>
    <xf numFmtId="1" fontId="0" fillId="0" borderId="3" xfId="0" applyNumberFormat="1" applyFill="1" applyBorder="1"/>
    <xf numFmtId="1" fontId="0" fillId="0" borderId="19" xfId="0" applyNumberFormat="1" applyFill="1" applyBorder="1"/>
    <xf numFmtId="2" fontId="0" fillId="0" borderId="1" xfId="0" applyNumberFormat="1" applyBorder="1"/>
    <xf numFmtId="0" fontId="0" fillId="0" borderId="29" xfId="0" applyBorder="1"/>
    <xf numFmtId="0" fontId="0" fillId="0" borderId="30" xfId="0" applyBorder="1"/>
    <xf numFmtId="1" fontId="0" fillId="0" borderId="0" xfId="0" applyNumberFormat="1" applyBorder="1"/>
    <xf numFmtId="4" fontId="0" fillId="0" borderId="32" xfId="0" applyNumberFormat="1" applyBorder="1"/>
    <xf numFmtId="0" fontId="0" fillId="0" borderId="20" xfId="0" applyBorder="1"/>
    <xf numFmtId="0" fontId="0" fillId="0" borderId="21" xfId="0" applyBorder="1"/>
    <xf numFmtId="4" fontId="0" fillId="0" borderId="54" xfId="0" applyNumberFormat="1" applyBorder="1"/>
    <xf numFmtId="0" fontId="7" fillId="2" borderId="28" xfId="0" applyFont="1" applyFill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2" fontId="8" fillId="0" borderId="0" xfId="0" applyNumberFormat="1" applyFont="1"/>
    <xf numFmtId="2" fontId="8" fillId="0" borderId="1" xfId="0" applyNumberFormat="1" applyFont="1" applyBorder="1"/>
    <xf numFmtId="0" fontId="0" fillId="0" borderId="0" xfId="0" applyAlignment="1"/>
    <xf numFmtId="0" fontId="0" fillId="0" borderId="28" xfId="0" applyBorder="1"/>
    <xf numFmtId="2" fontId="0" fillId="0" borderId="31" xfId="0" applyNumberFormat="1" applyBorder="1"/>
    <xf numFmtId="2" fontId="0" fillId="0" borderId="20" xfId="0" applyNumberFormat="1" applyBorder="1"/>
    <xf numFmtId="2" fontId="14" fillId="2" borderId="0" xfId="0" applyNumberFormat="1" applyFont="1" applyFill="1"/>
    <xf numFmtId="0" fontId="0" fillId="0" borderId="0" xfId="0" applyAlignment="1">
      <alignment horizontal="left" wrapText="1"/>
    </xf>
    <xf numFmtId="2" fontId="0" fillId="0" borderId="6" xfId="0" applyNumberFormat="1" applyBorder="1" applyAlignment="1">
      <alignment horizontal="center" wrapText="1"/>
    </xf>
    <xf numFmtId="0" fontId="0" fillId="0" borderId="50" xfId="0" applyBorder="1"/>
    <xf numFmtId="2" fontId="0" fillId="0" borderId="55" xfId="0" applyNumberFormat="1" applyBorder="1" applyAlignment="1">
      <alignment horizontal="center" wrapText="1"/>
    </xf>
    <xf numFmtId="3" fontId="13" fillId="3" borderId="25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 wrapText="1"/>
    </xf>
    <xf numFmtId="4" fontId="7" fillId="0" borderId="48" xfId="0" applyNumberFormat="1" applyFont="1" applyFill="1" applyBorder="1" applyAlignment="1">
      <alignment horizontal="center" wrapText="1"/>
    </xf>
    <xf numFmtId="4" fontId="0" fillId="0" borderId="48" xfId="0" applyNumberFormat="1" applyBorder="1" applyAlignment="1">
      <alignment horizontal="center" wrapText="1"/>
    </xf>
    <xf numFmtId="4" fontId="0" fillId="2" borderId="48" xfId="0" applyNumberForma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4" fontId="5" fillId="0" borderId="42" xfId="0" applyNumberFormat="1" applyFont="1" applyFill="1" applyBorder="1" applyAlignment="1">
      <alignment horizontal="center" wrapText="1"/>
    </xf>
    <xf numFmtId="4" fontId="0" fillId="2" borderId="42" xfId="0" applyNumberForma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4" fontId="0" fillId="0" borderId="55" xfId="0" applyNumberFormat="1" applyFill="1" applyBorder="1" applyAlignment="1">
      <alignment horizontal="center" wrapText="1"/>
    </xf>
    <xf numFmtId="4" fontId="0" fillId="2" borderId="13" xfId="0" applyNumberFormat="1" applyFill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0" fillId="0" borderId="16" xfId="0" applyNumberForma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4" fontId="0" fillId="0" borderId="42" xfId="0" applyNumberFormat="1" applyBorder="1" applyAlignment="1">
      <alignment horizontal="center" wrapText="1"/>
    </xf>
    <xf numFmtId="4" fontId="7" fillId="2" borderId="6" xfId="0" applyNumberFormat="1" applyFont="1" applyFill="1" applyBorder="1" applyAlignment="1">
      <alignment horizontal="center" wrapText="1"/>
    </xf>
    <xf numFmtId="4" fontId="7" fillId="0" borderId="55" xfId="0" applyNumberFormat="1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3" fontId="7" fillId="2" borderId="13" xfId="0" applyNumberFormat="1" applyFont="1" applyFill="1" applyBorder="1"/>
    <xf numFmtId="3" fontId="7" fillId="2" borderId="1" xfId="0" applyNumberFormat="1" applyFont="1" applyFill="1" applyBorder="1"/>
    <xf numFmtId="3" fontId="0" fillId="2" borderId="6" xfId="0" applyNumberFormat="1" applyFill="1" applyBorder="1"/>
    <xf numFmtId="3" fontId="0" fillId="2" borderId="13" xfId="0" applyNumberFormat="1" applyFill="1" applyBorder="1"/>
    <xf numFmtId="4" fontId="13" fillId="3" borderId="27" xfId="0" applyNumberFormat="1" applyFont="1" applyFill="1" applyBorder="1" applyAlignment="1">
      <alignment wrapText="1"/>
    </xf>
    <xf numFmtId="0" fontId="0" fillId="0" borderId="27" xfId="0" applyBorder="1"/>
    <xf numFmtId="0" fontId="7" fillId="0" borderId="51" xfId="0" applyFont="1" applyFill="1" applyBorder="1"/>
    <xf numFmtId="0" fontId="0" fillId="2" borderId="51" xfId="0" applyFill="1" applyBorder="1"/>
    <xf numFmtId="0" fontId="0" fillId="0" borderId="15" xfId="0" applyFill="1" applyBorder="1"/>
    <xf numFmtId="0" fontId="0" fillId="0" borderId="15" xfId="0" applyBorder="1"/>
    <xf numFmtId="0" fontId="0" fillId="0" borderId="50" xfId="0" applyFill="1" applyBorder="1"/>
    <xf numFmtId="1" fontId="0" fillId="0" borderId="50" xfId="0" applyNumberFormat="1" applyFill="1" applyBorder="1"/>
    <xf numFmtId="4" fontId="0" fillId="0" borderId="51" xfId="0" applyNumberFormat="1" applyBorder="1" applyAlignment="1">
      <alignment wrapText="1"/>
    </xf>
    <xf numFmtId="0" fontId="0" fillId="2" borderId="15" xfId="0" applyFill="1" applyBorder="1"/>
    <xf numFmtId="4" fontId="7" fillId="0" borderId="0" xfId="0" applyNumberFormat="1" applyFont="1" applyFill="1"/>
    <xf numFmtId="4" fontId="5" fillId="0" borderId="0" xfId="0" applyNumberFormat="1" applyFont="1" applyFill="1"/>
    <xf numFmtId="4" fontId="8" fillId="0" borderId="6" xfId="0" applyNumberFormat="1" applyFont="1" applyBorder="1"/>
    <xf numFmtId="4" fontId="16" fillId="0" borderId="6" xfId="0" applyNumberFormat="1" applyFont="1" applyBorder="1"/>
    <xf numFmtId="4" fontId="8" fillId="0" borderId="7" xfId="0" applyNumberFormat="1" applyFont="1" applyBorder="1"/>
    <xf numFmtId="0" fontId="7" fillId="2" borderId="14" xfId="0" applyFont="1" applyFill="1" applyBorder="1"/>
    <xf numFmtId="0" fontId="5" fillId="0" borderId="14" xfId="0" applyFont="1" applyFill="1" applyBorder="1"/>
    <xf numFmtId="0" fontId="7" fillId="2" borderId="9" xfId="0" applyFont="1" applyFill="1" applyBorder="1"/>
    <xf numFmtId="0" fontId="7" fillId="0" borderId="9" xfId="0" applyFont="1" applyFill="1" applyBorder="1"/>
    <xf numFmtId="0" fontId="5" fillId="0" borderId="11" xfId="0" applyFont="1" applyFill="1" applyBorder="1"/>
    <xf numFmtId="0" fontId="0" fillId="2" borderId="11" xfId="0" applyFill="1" applyBorder="1"/>
    <xf numFmtId="4" fontId="7" fillId="2" borderId="9" xfId="0" applyNumberFormat="1" applyFont="1" applyFill="1" applyBorder="1"/>
    <xf numFmtId="4" fontId="5" fillId="0" borderId="9" xfId="0" applyNumberFormat="1" applyFont="1" applyFill="1" applyBorder="1"/>
    <xf numFmtId="4" fontId="0" fillId="2" borderId="9" xfId="0" applyNumberFormat="1" applyFill="1" applyBorder="1" applyAlignment="1">
      <alignment wrapText="1"/>
    </xf>
    <xf numFmtId="4" fontId="7" fillId="2" borderId="7" xfId="0" applyNumberFormat="1" applyFont="1" applyFill="1" applyBorder="1" applyAlignment="1">
      <alignment wrapText="1"/>
    </xf>
    <xf numFmtId="4" fontId="7" fillId="0" borderId="19" xfId="0" applyNumberFormat="1" applyFont="1" applyFill="1" applyBorder="1" applyAlignment="1">
      <alignment wrapText="1"/>
    </xf>
    <xf numFmtId="4" fontId="7" fillId="2" borderId="9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4" fontId="0" fillId="2" borderId="7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0" fillId="0" borderId="57" xfId="0" applyNumberFormat="1" applyBorder="1"/>
    <xf numFmtId="0" fontId="7" fillId="0" borderId="1" xfId="0" applyFont="1" applyBorder="1" applyAlignment="1">
      <alignment wrapText="1"/>
    </xf>
    <xf numFmtId="0" fontId="17" fillId="0" borderId="0" xfId="0" applyFont="1"/>
    <xf numFmtId="0" fontId="3" fillId="0" borderId="0" xfId="0" applyFont="1"/>
    <xf numFmtId="3" fontId="9" fillId="0" borderId="1" xfId="0" applyNumberFormat="1" applyFont="1" applyBorder="1"/>
    <xf numFmtId="3" fontId="10" fillId="0" borderId="1" xfId="0" applyNumberFormat="1" applyFont="1" applyBorder="1"/>
    <xf numFmtId="3" fontId="10" fillId="0" borderId="0" xfId="0" applyNumberFormat="1" applyFont="1"/>
    <xf numFmtId="3" fontId="9" fillId="0" borderId="0" xfId="0" applyNumberFormat="1" applyFont="1"/>
    <xf numFmtId="0" fontId="0" fillId="0" borderId="0" xfId="0" applyFont="1"/>
    <xf numFmtId="0" fontId="0" fillId="0" borderId="8" xfId="0" applyBorder="1"/>
    <xf numFmtId="0" fontId="7" fillId="0" borderId="8" xfId="0" applyFont="1" applyBorder="1"/>
    <xf numFmtId="0" fontId="0" fillId="0" borderId="38" xfId="0" applyFont="1" applyBorder="1"/>
    <xf numFmtId="0" fontId="1" fillId="0" borderId="0" xfId="0" applyFont="1"/>
    <xf numFmtId="0" fontId="0" fillId="0" borderId="0" xfId="0" applyFill="1" applyAlignment="1">
      <alignment wrapText="1"/>
    </xf>
    <xf numFmtId="3" fontId="9" fillId="0" borderId="0" xfId="0" applyNumberFormat="1" applyFont="1" applyBorder="1"/>
    <xf numFmtId="3" fontId="0" fillId="0" borderId="0" xfId="0" applyNumberFormat="1" applyBorder="1" applyAlignment="1">
      <alignment horizontal="center"/>
    </xf>
    <xf numFmtId="165" fontId="9" fillId="0" borderId="1" xfId="0" applyNumberFormat="1" applyFont="1" applyBorder="1"/>
    <xf numFmtId="164" fontId="0" fillId="0" borderId="1" xfId="1" applyFont="1" applyBorder="1"/>
    <xf numFmtId="164" fontId="0" fillId="0" borderId="1" xfId="1" applyFont="1" applyFill="1" applyBorder="1"/>
    <xf numFmtId="164" fontId="0" fillId="0" borderId="0" xfId="1" applyFont="1"/>
    <xf numFmtId="16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9" fillId="0" borderId="1" xfId="1" applyFont="1" applyBorder="1"/>
    <xf numFmtId="0" fontId="0" fillId="0" borderId="1" xfId="0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wrapText="1"/>
    </xf>
    <xf numFmtId="164" fontId="3" fillId="4" borderId="1" xfId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4" borderId="1" xfId="1" applyFont="1" applyFill="1" applyBorder="1"/>
    <xf numFmtId="164" fontId="7" fillId="4" borderId="1" xfId="0" applyNumberFormat="1" applyFont="1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164" fontId="0" fillId="4" borderId="1" xfId="1" applyFont="1" applyFill="1" applyBorder="1" applyAlignment="1">
      <alignment wrapText="1"/>
    </xf>
    <xf numFmtId="164" fontId="7" fillId="4" borderId="1" xfId="1" applyFont="1" applyFill="1" applyBorder="1" applyAlignment="1">
      <alignment horizontal="center"/>
    </xf>
    <xf numFmtId="164" fontId="0" fillId="4" borderId="1" xfId="1" applyFont="1" applyFill="1" applyBorder="1" applyAlignment="1">
      <alignment horizontal="center"/>
    </xf>
    <xf numFmtId="164" fontId="3" fillId="4" borderId="1" xfId="1" applyFont="1" applyFill="1" applyBorder="1" applyAlignment="1">
      <alignment horizontal="center" wrapText="1"/>
    </xf>
    <xf numFmtId="164" fontId="0" fillId="4" borderId="1" xfId="1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3" fillId="4" borderId="1" xfId="0" applyFont="1" applyFill="1" applyBorder="1"/>
    <xf numFmtId="164" fontId="7" fillId="4" borderId="1" xfId="1" applyFont="1" applyFill="1" applyBorder="1"/>
    <xf numFmtId="164" fontId="0" fillId="4" borderId="1" xfId="0" applyNumberFormat="1" applyFill="1" applyBorder="1"/>
    <xf numFmtId="164" fontId="0" fillId="4" borderId="4" xfId="1" applyFont="1" applyFill="1" applyBorder="1"/>
    <xf numFmtId="0" fontId="1" fillId="4" borderId="1" xfId="0" applyFont="1" applyFill="1" applyBorder="1" applyAlignment="1">
      <alignment horizontal="left" wrapText="1"/>
    </xf>
    <xf numFmtId="164" fontId="1" fillId="4" borderId="1" xfId="1" applyFon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15" xfId="0" applyFill="1" applyBorder="1"/>
    <xf numFmtId="164" fontId="7" fillId="4" borderId="9" xfId="1" applyFont="1" applyFill="1" applyBorder="1"/>
    <xf numFmtId="0" fontId="0" fillId="4" borderId="15" xfId="0" applyFill="1" applyBorder="1" applyAlignment="1">
      <alignment wrapText="1"/>
    </xf>
    <xf numFmtId="0" fontId="7" fillId="4" borderId="8" xfId="0" applyFont="1" applyFill="1" applyBorder="1"/>
    <xf numFmtId="0" fontId="7" fillId="4" borderId="9" xfId="0" applyFont="1" applyFill="1" applyBorder="1" applyAlignment="1">
      <alignment wrapText="1"/>
    </xf>
    <xf numFmtId="0" fontId="18" fillId="4" borderId="1" xfId="0" applyFont="1" applyFill="1" applyBorder="1" applyAlignment="1">
      <alignment wrapText="1"/>
    </xf>
    <xf numFmtId="164" fontId="0" fillId="4" borderId="15" xfId="1" applyFont="1" applyFill="1" applyBorder="1"/>
    <xf numFmtId="0" fontId="0" fillId="4" borderId="12" xfId="0" applyFill="1" applyBorder="1"/>
    <xf numFmtId="0" fontId="0" fillId="4" borderId="14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4" borderId="13" xfId="0" applyFill="1" applyBorder="1"/>
    <xf numFmtId="0" fontId="0" fillId="4" borderId="9" xfId="0" applyFill="1" applyBorder="1" applyAlignment="1">
      <alignment wrapText="1"/>
    </xf>
    <xf numFmtId="0" fontId="18" fillId="4" borderId="9" xfId="0" applyFont="1" applyFill="1" applyBorder="1" applyAlignment="1">
      <alignment wrapText="1"/>
    </xf>
    <xf numFmtId="0" fontId="19" fillId="4" borderId="9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18" fillId="4" borderId="9" xfId="0" applyFont="1" applyFill="1" applyBorder="1" applyAlignment="1">
      <alignment horizontal="left" vertical="top" wrapText="1"/>
    </xf>
    <xf numFmtId="2" fontId="18" fillId="4" borderId="9" xfId="0" applyNumberFormat="1" applyFont="1" applyFill="1" applyBorder="1" applyAlignment="1">
      <alignment wrapText="1"/>
    </xf>
    <xf numFmtId="0" fontId="0" fillId="4" borderId="38" xfId="0" applyFont="1" applyFill="1" applyBorder="1"/>
    <xf numFmtId="0" fontId="18" fillId="4" borderId="40" xfId="0" applyFont="1" applyFill="1" applyBorder="1" applyAlignment="1">
      <alignment wrapText="1"/>
    </xf>
    <xf numFmtId="0" fontId="0" fillId="4" borderId="39" xfId="0" applyFont="1" applyFill="1" applyBorder="1" applyAlignment="1">
      <alignment wrapText="1"/>
    </xf>
    <xf numFmtId="0" fontId="0" fillId="4" borderId="39" xfId="0" applyFont="1" applyFill="1" applyBorder="1" applyAlignment="1">
      <alignment horizontal="center" wrapText="1"/>
    </xf>
    <xf numFmtId="0" fontId="0" fillId="4" borderId="39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164" fontId="7" fillId="4" borderId="15" xfId="0" applyNumberFormat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left" vertical="top" wrapText="1"/>
    </xf>
    <xf numFmtId="2" fontId="18" fillId="4" borderId="1" xfId="0" applyNumberFormat="1" applyFont="1" applyFill="1" applyBorder="1" applyAlignment="1">
      <alignment wrapText="1"/>
    </xf>
    <xf numFmtId="0" fontId="18" fillId="4" borderId="39" xfId="0" applyFont="1" applyFill="1" applyBorder="1" applyAlignment="1">
      <alignment wrapText="1"/>
    </xf>
    <xf numFmtId="164" fontId="7" fillId="4" borderId="1" xfId="0" applyNumberFormat="1" applyFont="1" applyFill="1" applyBorder="1" applyAlignment="1">
      <alignment wrapText="1"/>
    </xf>
    <xf numFmtId="0" fontId="21" fillId="0" borderId="0" xfId="0" applyFont="1"/>
    <xf numFmtId="0" fontId="21" fillId="4" borderId="8" xfId="0" applyFont="1" applyFill="1" applyBorder="1"/>
    <xf numFmtId="0" fontId="21" fillId="4" borderId="1" xfId="0" applyFont="1" applyFill="1" applyBorder="1" applyAlignment="1">
      <alignment horizontal="center" wrapText="1"/>
    </xf>
    <xf numFmtId="0" fontId="21" fillId="4" borderId="1" xfId="0" applyFont="1" applyFill="1" applyBorder="1"/>
    <xf numFmtId="164" fontId="7" fillId="4" borderId="15" xfId="0" applyNumberFormat="1" applyFont="1" applyFill="1" applyBorder="1"/>
    <xf numFmtId="0" fontId="2" fillId="4" borderId="1" xfId="0" applyFont="1" applyFill="1" applyBorder="1" applyAlignment="1">
      <alignment wrapText="1"/>
    </xf>
    <xf numFmtId="0" fontId="0" fillId="4" borderId="38" xfId="0" applyFill="1" applyBorder="1"/>
    <xf numFmtId="0" fontId="2" fillId="4" borderId="39" xfId="0" applyFont="1" applyFill="1" applyBorder="1" applyAlignment="1">
      <alignment wrapText="1"/>
    </xf>
    <xf numFmtId="0" fontId="0" fillId="4" borderId="39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7" fillId="5" borderId="1" xfId="0" applyFont="1" applyFill="1" applyBorder="1"/>
    <xf numFmtId="164" fontId="0" fillId="5" borderId="1" xfId="1" applyFont="1" applyFill="1" applyBorder="1"/>
    <xf numFmtId="4" fontId="0" fillId="5" borderId="1" xfId="0" applyNumberFormat="1" applyFill="1" applyBorder="1"/>
    <xf numFmtId="164" fontId="0" fillId="5" borderId="1" xfId="0" applyNumberFormat="1" applyFill="1" applyBorder="1"/>
    <xf numFmtId="164" fontId="0" fillId="5" borderId="1" xfId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64" fontId="0" fillId="5" borderId="1" xfId="1" applyFont="1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164" fontId="0" fillId="5" borderId="0" xfId="0" applyNumberFormat="1" applyFill="1"/>
    <xf numFmtId="164" fontId="0" fillId="5" borderId="1" xfId="1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4" fontId="0" fillId="5" borderId="1" xfId="0" applyNumberFormat="1" applyFill="1" applyBorder="1" applyAlignment="1">
      <alignment wrapText="1"/>
    </xf>
    <xf numFmtId="164" fontId="7" fillId="5" borderId="1" xfId="1" applyFon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wrapText="1"/>
    </xf>
    <xf numFmtId="4" fontId="0" fillId="4" borderId="1" xfId="0" applyNumberFormat="1" applyFill="1" applyBorder="1"/>
    <xf numFmtId="0" fontId="7" fillId="4" borderId="8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3" fillId="4" borderId="8" xfId="0" applyFont="1" applyFill="1" applyBorder="1" applyAlignment="1">
      <alignment wrapText="1"/>
    </xf>
    <xf numFmtId="164" fontId="3" fillId="4" borderId="9" xfId="1" applyFont="1" applyFill="1" applyBorder="1" applyAlignment="1">
      <alignment wrapText="1"/>
    </xf>
    <xf numFmtId="164" fontId="0" fillId="4" borderId="9" xfId="1" applyFont="1" applyFill="1" applyBorder="1"/>
    <xf numFmtId="164" fontId="0" fillId="4" borderId="32" xfId="1" applyFont="1" applyFill="1" applyBorder="1"/>
    <xf numFmtId="164" fontId="7" fillId="4" borderId="9" xfId="0" applyNumberFormat="1" applyFont="1" applyFill="1" applyBorder="1"/>
    <xf numFmtId="3" fontId="7" fillId="4" borderId="9" xfId="0" applyNumberFormat="1" applyFont="1" applyFill="1" applyBorder="1" applyAlignment="1">
      <alignment horizontal="center"/>
    </xf>
    <xf numFmtId="3" fontId="0" fillId="4" borderId="9" xfId="0" applyNumberFormat="1" applyFill="1" applyBorder="1" applyAlignment="1">
      <alignment vertical="center"/>
    </xf>
    <xf numFmtId="3" fontId="0" fillId="4" borderId="9" xfId="0" applyNumberFormat="1" applyFill="1" applyBorder="1"/>
    <xf numFmtId="0" fontId="0" fillId="4" borderId="10" xfId="0" applyFill="1" applyBorder="1"/>
    <xf numFmtId="0" fontId="7" fillId="4" borderId="9" xfId="0" applyFont="1" applyFill="1" applyBorder="1"/>
    <xf numFmtId="164" fontId="0" fillId="4" borderId="9" xfId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 wrapText="1"/>
    </xf>
    <xf numFmtId="164" fontId="1" fillId="4" borderId="9" xfId="1" applyFont="1" applyFill="1" applyBorder="1" applyAlignment="1">
      <alignment horizontal="center" wrapText="1"/>
    </xf>
    <xf numFmtId="164" fontId="0" fillId="4" borderId="9" xfId="0" applyNumberFormat="1" applyFill="1" applyBorder="1" applyAlignment="1">
      <alignment horizontal="center"/>
    </xf>
    <xf numFmtId="0" fontId="0" fillId="5" borderId="8" xfId="0" applyFill="1" applyBorder="1"/>
    <xf numFmtId="0" fontId="7" fillId="5" borderId="9" xfId="0" applyFont="1" applyFill="1" applyBorder="1"/>
    <xf numFmtId="164" fontId="0" fillId="5" borderId="9" xfId="1" applyFont="1" applyFill="1" applyBorder="1"/>
    <xf numFmtId="4" fontId="0" fillId="5" borderId="9" xfId="0" applyNumberFormat="1" applyFill="1" applyBorder="1"/>
    <xf numFmtId="164" fontId="0" fillId="5" borderId="9" xfId="0" applyNumberFormat="1" applyFill="1" applyBorder="1"/>
    <xf numFmtId="0" fontId="7" fillId="5" borderId="9" xfId="0" applyFont="1" applyFill="1" applyBorder="1" applyAlignment="1">
      <alignment horizontal="center"/>
    </xf>
    <xf numFmtId="164" fontId="0" fillId="5" borderId="9" xfId="1" applyFon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7" fillId="4" borderId="9" xfId="1" applyFont="1" applyFill="1" applyBorder="1" applyAlignment="1">
      <alignment horizontal="center"/>
    </xf>
    <xf numFmtId="4" fontId="0" fillId="4" borderId="9" xfId="0" applyNumberFormat="1" applyFill="1" applyBorder="1"/>
    <xf numFmtId="164" fontId="0" fillId="4" borderId="9" xfId="0" applyNumberFormat="1" applyFill="1" applyBorder="1"/>
    <xf numFmtId="164" fontId="0" fillId="0" borderId="9" xfId="1" applyFont="1" applyFill="1" applyBorder="1" applyAlignment="1">
      <alignment horizontal="center"/>
    </xf>
    <xf numFmtId="164" fontId="0" fillId="0" borderId="9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8" xfId="0" applyBorder="1"/>
    <xf numFmtId="0" fontId="0" fillId="0" borderId="39" xfId="0" applyBorder="1" applyAlignment="1">
      <alignment wrapText="1"/>
    </xf>
    <xf numFmtId="164" fontId="0" fillId="0" borderId="40" xfId="1" applyFont="1" applyBorder="1" applyAlignment="1">
      <alignment horizontal="center"/>
    </xf>
    <xf numFmtId="166" fontId="0" fillId="0" borderId="1" xfId="1" applyNumberFormat="1" applyFont="1" applyFill="1" applyBorder="1"/>
    <xf numFmtId="4" fontId="0" fillId="4" borderId="1" xfId="0" applyNumberFormat="1" applyFill="1" applyBorder="1" applyAlignment="1">
      <alignment wrapText="1"/>
    </xf>
    <xf numFmtId="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0" fillId="4" borderId="10" xfId="0" applyFill="1" applyBorder="1" applyAlignment="1">
      <alignment horizontal="center" wrapText="1"/>
    </xf>
    <xf numFmtId="0" fontId="0" fillId="4" borderId="58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7" fillId="4" borderId="12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4" borderId="15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  <xf numFmtId="0" fontId="7" fillId="5" borderId="15" xfId="0" applyFont="1" applyFill="1" applyBorder="1" applyAlignment="1">
      <alignment horizontal="left" wrapText="1"/>
    </xf>
    <xf numFmtId="0" fontId="7" fillId="5" borderId="18" xfId="0" applyFont="1" applyFill="1" applyBorder="1" applyAlignment="1">
      <alignment horizontal="left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8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2" fontId="0" fillId="0" borderId="28" xfId="0" applyNumberForma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2" fontId="0" fillId="0" borderId="49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2" fontId="7" fillId="2" borderId="12" xfId="0" applyNumberFormat="1" applyFont="1" applyFill="1" applyBorder="1" applyAlignment="1">
      <alignment horizontal="center" wrapText="1"/>
    </xf>
    <xf numFmtId="2" fontId="7" fillId="2" borderId="13" xfId="0" applyNumberFormat="1" applyFont="1" applyFill="1" applyBorder="1" applyAlignment="1">
      <alignment horizontal="center" wrapText="1"/>
    </xf>
    <xf numFmtId="2" fontId="0" fillId="2" borderId="17" xfId="0" applyNumberFormat="1" applyFill="1" applyBorder="1" applyAlignment="1">
      <alignment horizontal="center" wrapText="1"/>
    </xf>
    <xf numFmtId="2" fontId="0" fillId="2" borderId="18" xfId="0" applyNumberFormat="1" applyFill="1" applyBorder="1" applyAlignment="1">
      <alignment horizontal="center" wrapText="1"/>
    </xf>
    <xf numFmtId="2" fontId="0" fillId="2" borderId="16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7" fillId="2" borderId="17" xfId="0" applyNumberFormat="1" applyFont="1" applyFill="1" applyBorder="1" applyAlignment="1">
      <alignment horizontal="center" wrapText="1"/>
    </xf>
    <xf numFmtId="2" fontId="7" fillId="2" borderId="18" xfId="0" applyNumberFormat="1" applyFont="1" applyFill="1" applyBorder="1" applyAlignment="1">
      <alignment horizontal="center" wrapText="1"/>
    </xf>
    <xf numFmtId="2" fontId="7" fillId="2" borderId="16" xfId="0" applyNumberFormat="1" applyFont="1" applyFill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0" fillId="2" borderId="45" xfId="0" applyNumberFormat="1" applyFill="1" applyBorder="1" applyAlignment="1">
      <alignment horizontal="center" wrapText="1"/>
    </xf>
    <xf numFmtId="2" fontId="0" fillId="2" borderId="46" xfId="0" applyNumberFormat="1" applyFill="1" applyBorder="1" applyAlignment="1">
      <alignment horizontal="center" wrapText="1"/>
    </xf>
    <xf numFmtId="2" fontId="0" fillId="2" borderId="42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 wrapText="1"/>
    </xf>
    <xf numFmtId="2" fontId="0" fillId="2" borderId="12" xfId="0" applyNumberFormat="1" applyFill="1" applyBorder="1" applyAlignment="1">
      <alignment horizontal="center" wrapText="1"/>
    </xf>
    <xf numFmtId="2" fontId="0" fillId="2" borderId="13" xfId="0" applyNumberForma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2" fontId="7" fillId="0" borderId="17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 wrapText="1"/>
    </xf>
    <xf numFmtId="2" fontId="0" fillId="0" borderId="24" xfId="0" applyNumberFormat="1" applyFill="1" applyBorder="1" applyAlignment="1">
      <alignment horizontal="center" wrapText="1"/>
    </xf>
    <xf numFmtId="2" fontId="0" fillId="0" borderId="25" xfId="0" applyNumberForma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2" fontId="0" fillId="0" borderId="28" xfId="0" applyNumberFormat="1" applyFill="1" applyBorder="1" applyAlignment="1">
      <alignment horizontal="center" wrapText="1"/>
    </xf>
    <xf numFmtId="2" fontId="0" fillId="0" borderId="29" xfId="0" applyNumberFormat="1" applyFill="1" applyBorder="1" applyAlignment="1">
      <alignment horizontal="center" wrapText="1"/>
    </xf>
    <xf numFmtId="2" fontId="0" fillId="0" borderId="49" xfId="0" applyNumberForma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/&#1042;&#1054;&#1044;&#104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88;&#1077;&#1072;&#1083;&#1080;&#1079;&#1072;&#1094;&#1080;&#1103;/&#1076;&#1077;&#1082;&#1072;&#1073;&#1088;&#1100;%202015/&#1076;&#1077;&#1082;&#1072;&#1073;&#1088;&#1100;%202015%20&#1076;&#1083;&#1103;%20&#1057;&#1074;&#1077;&#1090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%202015%20%20&#1058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%20&#1043;&#1054;&#1044;/&#1069;&#1051;&#1045;&#1050;&#1058;&#1056;&#1054;&#1069;&#1053;&#1045;&#1056;&#1043;&#1048;&#1071;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%20&#1043;&#1054;&#1044;/&#1058;&#1045;&#1055;&#1051;&#1054;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%20&#1043;&#1054;&#1044;/&#1042;&#1054;&#1044;&#1040;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7;&#1073;&#1080;&#1090;&#1086;&#1088;&#1082;&#1072;%20&#1073;&#1091;&#1093;&#1075;&#1072;&#1083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СНАБЖЕНИЕ 2016"/>
      <sheetName val="ВОДООТВЕДЕНИЕ 2016"/>
      <sheetName val="1"/>
    </sheetNames>
    <sheetDataSet>
      <sheetData sheetId="0">
        <row r="7">
          <cell r="C7">
            <v>16886.75</v>
          </cell>
        </row>
        <row r="12">
          <cell r="C12">
            <v>681438.71082000004</v>
          </cell>
        </row>
        <row r="22">
          <cell r="C22">
            <v>853306.55524000013</v>
          </cell>
        </row>
        <row r="32">
          <cell r="C32">
            <v>441208.84632440004</v>
          </cell>
        </row>
        <row r="41">
          <cell r="C41">
            <v>894539.70283600013</v>
          </cell>
        </row>
        <row r="52">
          <cell r="C52">
            <v>3807295.1242503994</v>
          </cell>
        </row>
        <row r="62">
          <cell r="C62">
            <v>666139.12909440009</v>
          </cell>
        </row>
        <row r="72">
          <cell r="C72">
            <v>1171783.6220251999</v>
          </cell>
        </row>
      </sheetData>
      <sheetData sheetId="1">
        <row r="7">
          <cell r="C7">
            <v>15753.056</v>
          </cell>
        </row>
        <row r="12">
          <cell r="C12">
            <v>673190.09437279985</v>
          </cell>
        </row>
        <row r="21">
          <cell r="C21">
            <v>872346.61827759992</v>
          </cell>
        </row>
        <row r="30">
          <cell r="C30">
            <v>537215.43536719994</v>
          </cell>
        </row>
        <row r="39">
          <cell r="C39">
            <v>916951.32291059988</v>
          </cell>
        </row>
        <row r="48">
          <cell r="C48">
            <v>4111234.4020745996</v>
          </cell>
        </row>
        <row r="57">
          <cell r="C57">
            <v>811417.82474199997</v>
          </cell>
        </row>
        <row r="66">
          <cell r="C66">
            <v>1133852.8821844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сь фонд"/>
      <sheetName val="Восстановл_Лист3"/>
    </sheetNames>
    <sheetDataSet>
      <sheetData sheetId="0">
        <row r="338">
          <cell r="E338">
            <v>13645.580000000009</v>
          </cell>
        </row>
        <row r="444">
          <cell r="E444">
            <v>8511.3000000000011</v>
          </cell>
        </row>
        <row r="614">
          <cell r="E614">
            <v>12525.500000000004</v>
          </cell>
        </row>
        <row r="1536">
          <cell r="E1536">
            <v>68373.51999999999</v>
          </cell>
        </row>
        <row r="1948">
          <cell r="E1948">
            <v>11210.900000000001</v>
          </cell>
        </row>
        <row r="2149">
          <cell r="E2149">
            <v>14849.000000000004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18"/>
      <sheetName val="11Б"/>
      <sheetName val="15"/>
      <sheetName val="10"/>
      <sheetName val="41"/>
      <sheetName val="Ун. 11"/>
      <sheetName val="Таблица ТАРИФОВ ПЕРЕДЕЛАТЬ!!!!"/>
      <sheetName val="Лист3"/>
      <sheetName val="ФОТ норматив"/>
      <sheetName val="Ком предл."/>
    </sheetNames>
    <sheetDataSet>
      <sheetData sheetId="0">
        <row r="15">
          <cell r="H15">
            <v>4746920.32</v>
          </cell>
        </row>
        <row r="16">
          <cell r="H16">
            <v>734244.465995976</v>
          </cell>
        </row>
        <row r="18">
          <cell r="H18">
            <v>94317.581810865202</v>
          </cell>
        </row>
        <row r="19">
          <cell r="H19">
            <v>16714.508169014087</v>
          </cell>
        </row>
        <row r="20">
          <cell r="H20">
            <v>149236.68008048294</v>
          </cell>
        </row>
        <row r="21">
          <cell r="H21">
            <v>20296.188490945675</v>
          </cell>
        </row>
        <row r="22">
          <cell r="H22">
            <v>156400.04072434609</v>
          </cell>
        </row>
        <row r="23">
          <cell r="H23">
            <v>218482.49963782702</v>
          </cell>
        </row>
        <row r="24">
          <cell r="H24">
            <v>149236.68008048294</v>
          </cell>
        </row>
        <row r="25">
          <cell r="H25">
            <v>56112.991710261573</v>
          </cell>
        </row>
        <row r="26">
          <cell r="H26">
            <v>63276.352354124756</v>
          </cell>
        </row>
        <row r="31">
          <cell r="H31">
            <v>70439.712997987925</v>
          </cell>
        </row>
        <row r="32">
          <cell r="H32">
            <v>1193.8934406438632</v>
          </cell>
        </row>
        <row r="33">
          <cell r="H33">
            <v>45367.950744466812</v>
          </cell>
        </row>
        <row r="34">
          <cell r="H34">
            <v>740213.93319919531</v>
          </cell>
        </row>
        <row r="35">
          <cell r="H35">
            <v>900195.65424547286</v>
          </cell>
        </row>
        <row r="36">
          <cell r="H36">
            <v>347422.99122736423</v>
          </cell>
        </row>
        <row r="37">
          <cell r="H37">
            <v>171920.65545271631</v>
          </cell>
        </row>
        <row r="38">
          <cell r="H38">
            <v>48949.63106639839</v>
          </cell>
        </row>
        <row r="39">
          <cell r="H39">
            <v>224451.96684104629</v>
          </cell>
        </row>
        <row r="40">
          <cell r="H40">
            <v>22683.975372233406</v>
          </cell>
        </row>
        <row r="41">
          <cell r="H41">
            <v>139685.532555332</v>
          </cell>
        </row>
        <row r="42">
          <cell r="H42">
            <v>376076.43380281696</v>
          </cell>
        </row>
      </sheetData>
      <sheetData sheetId="1">
        <row r="20">
          <cell r="J20">
            <v>1007202.6213153925</v>
          </cell>
        </row>
        <row r="22">
          <cell r="J22">
            <v>129380.49932344064</v>
          </cell>
        </row>
        <row r="23">
          <cell r="J23">
            <v>22928.189753521128</v>
          </cell>
        </row>
        <row r="24">
          <cell r="J24">
            <v>204715.97994215295</v>
          </cell>
        </row>
        <row r="25">
          <cell r="J25">
            <v>27841.373272132798</v>
          </cell>
        </row>
        <row r="26">
          <cell r="J26">
            <v>214542.34697937628</v>
          </cell>
        </row>
        <row r="27">
          <cell r="J27">
            <v>299704.1946353119</v>
          </cell>
        </row>
        <row r="28">
          <cell r="J28">
            <v>204715.97994215295</v>
          </cell>
        </row>
        <row r="29">
          <cell r="J29">
            <v>76973.208458249486</v>
          </cell>
        </row>
        <row r="30">
          <cell r="J30">
            <v>86799.575495472847</v>
          </cell>
        </row>
        <row r="35">
          <cell r="J35">
            <v>96625.942532696165</v>
          </cell>
        </row>
        <row r="36">
          <cell r="J36">
            <v>1637.7278395372234</v>
          </cell>
        </row>
        <row r="37">
          <cell r="J37">
            <v>62233.657902414481</v>
          </cell>
        </row>
        <row r="38">
          <cell r="J38">
            <v>1015391.2605130785</v>
          </cell>
        </row>
        <row r="39">
          <cell r="J39">
            <v>1234846.7910110664</v>
          </cell>
        </row>
        <row r="40">
          <cell r="J40">
            <v>476578.80130533199</v>
          </cell>
        </row>
        <row r="41">
          <cell r="J41">
            <v>235832.80889336017</v>
          </cell>
        </row>
        <row r="42">
          <cell r="J42">
            <v>67146.841421026154</v>
          </cell>
        </row>
        <row r="43">
          <cell r="J43">
            <v>307892.83383299795</v>
          </cell>
        </row>
        <row r="44">
          <cell r="J44">
            <v>31116.828951207241</v>
          </cell>
        </row>
        <row r="45">
          <cell r="J45">
            <v>191614.1572258551</v>
          </cell>
        </row>
        <row r="46">
          <cell r="J46">
            <v>515884.26945422537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. факт ООО"/>
      <sheetName val="Лист2"/>
      <sheetName val="эл. факт ООО (2)"/>
    </sheetNames>
    <sheetDataSet>
      <sheetData sheetId="0">
        <row r="329">
          <cell r="E329">
            <v>16612622.640000001</v>
          </cell>
          <cell r="P329">
            <v>876537</v>
          </cell>
          <cell r="Q329">
            <v>2028220.9800000002</v>
          </cell>
        </row>
        <row r="336">
          <cell r="Q336">
            <v>2026929.39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яцев АКТУАЛЬНО!! "/>
      <sheetName val="2015 ГОД!!!"/>
      <sheetName val="ОБЪЕМ КУ за 2013"/>
      <sheetName val="ОБЪЕМ КУ за 2014"/>
      <sheetName val="Лист5"/>
    </sheetNames>
    <sheetDataSet>
      <sheetData sheetId="0"/>
      <sheetData sheetId="1">
        <row r="7">
          <cell r="D7">
            <v>1833.1891999999998</v>
          </cell>
        </row>
        <row r="107">
          <cell r="D107">
            <v>565365.15</v>
          </cell>
        </row>
        <row r="113">
          <cell r="D113">
            <v>2969332.0889040404</v>
          </cell>
        </row>
        <row r="114">
          <cell r="D114">
            <v>2322473.9942040402</v>
          </cell>
        </row>
        <row r="115">
          <cell r="D115">
            <v>646858.0946999999</v>
          </cell>
        </row>
        <row r="151">
          <cell r="D151">
            <v>38623911.945028514</v>
          </cell>
        </row>
        <row r="152">
          <cell r="D152">
            <v>1400281.7947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СНАБЖЕНИЕ 2015"/>
      <sheetName val="ВОДООТВЕДЕНИЕ 2015"/>
      <sheetName val="1"/>
    </sheetNames>
    <sheetDataSet>
      <sheetData sheetId="0">
        <row r="7">
          <cell r="C7">
            <v>16102.283000000001</v>
          </cell>
        </row>
        <row r="62">
          <cell r="C62">
            <v>726943.25</v>
          </cell>
        </row>
        <row r="82">
          <cell r="C82">
            <v>6753062.4699999997</v>
          </cell>
        </row>
      </sheetData>
      <sheetData sheetId="1">
        <row r="7">
          <cell r="C7">
            <v>14292.280000000002</v>
          </cell>
        </row>
        <row r="53">
          <cell r="C53">
            <v>742048.35</v>
          </cell>
        </row>
        <row r="57">
          <cell r="C57">
            <v>738139.55000000016</v>
          </cell>
        </row>
        <row r="75">
          <cell r="C75">
            <v>7254045.5300000003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З И КЗ"/>
      <sheetName val="ДЗ встройки"/>
      <sheetName val="ДЗ население"/>
      <sheetName val="распределение оплаты"/>
      <sheetName val="1"/>
    </sheetNames>
    <sheetDataSet>
      <sheetData sheetId="0"/>
      <sheetData sheetId="1">
        <row r="21">
          <cell r="N21">
            <v>6217.1832239999994</v>
          </cell>
        </row>
        <row r="94">
          <cell r="K94">
            <v>278592.48477600003</v>
          </cell>
          <cell r="N94">
            <v>194482.87695200002</v>
          </cell>
        </row>
      </sheetData>
      <sheetData sheetId="2">
        <row r="3">
          <cell r="G3">
            <v>595040.62506725325</v>
          </cell>
        </row>
        <row r="8">
          <cell r="G8">
            <v>647608.76121261669</v>
          </cell>
          <cell r="J8">
            <v>892505.81953133631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9" sqref="G9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A1" s="442" t="s">
        <v>332</v>
      </c>
      <c r="B1" s="442"/>
      <c r="C1" t="s">
        <v>165</v>
      </c>
      <c r="D1" t="s">
        <v>166</v>
      </c>
      <c r="E1" s="122" t="s">
        <v>456</v>
      </c>
      <c r="F1" s="122" t="s">
        <v>231</v>
      </c>
      <c r="G1" s="122" t="s">
        <v>455</v>
      </c>
      <c r="H1" s="122" t="s">
        <v>457</v>
      </c>
      <c r="I1" s="122"/>
      <c r="K1" s="162"/>
      <c r="L1" s="162"/>
      <c r="M1" s="162"/>
    </row>
    <row r="2" spans="1:13" ht="33" customHeight="1" x14ac:dyDescent="0.3">
      <c r="A2" s="441" t="s">
        <v>164</v>
      </c>
      <c r="B2" s="441"/>
      <c r="C2" s="33">
        <f>'[1]ВОДОСНАБЖЕНИЕ 2016'!$C$12</f>
        <v>681438.71082000004</v>
      </c>
      <c r="D2" s="31">
        <f>C2/$C$9*100</f>
        <v>8.0021345905001553</v>
      </c>
      <c r="E2" s="284">
        <f>D2*$E$9/100</f>
        <v>53186.703693440373</v>
      </c>
      <c r="F2" s="284">
        <f>C2</f>
        <v>681438.71082000004</v>
      </c>
      <c r="G2" s="284">
        <f>D2*$G$9/100</f>
        <v>458048.06312851259</v>
      </c>
      <c r="H2" s="10">
        <f>E2+F2-G2</f>
        <v>276577.35138492787</v>
      </c>
      <c r="I2" s="10"/>
      <c r="J2" s="10"/>
      <c r="K2" s="65"/>
      <c r="L2" s="10"/>
      <c r="M2" s="10"/>
    </row>
    <row r="3" spans="1:13" ht="27" customHeight="1" x14ac:dyDescent="0.3">
      <c r="A3" s="441" t="s">
        <v>112</v>
      </c>
      <c r="B3" s="441"/>
      <c r="C3" s="33">
        <f>'[1]ВОДОСНАБЖЕНИЕ 2016'!$C$22</f>
        <v>853306.55524000013</v>
      </c>
      <c r="D3" s="31">
        <f t="shared" ref="D3:D8" si="0">C3/$C$9*100</f>
        <v>10.020378639437473</v>
      </c>
      <c r="E3" s="284">
        <f t="shared" ref="E3:E8" si="1">D3*$E$9/100</f>
        <v>66601.092941443392</v>
      </c>
      <c r="F3" s="284">
        <f t="shared" ref="F3:F8" si="2">C3</f>
        <v>853306.55524000013</v>
      </c>
      <c r="G3" s="284">
        <f t="shared" ref="G3:G8" si="3">D3*$G$9/100</f>
        <v>573573.83529358741</v>
      </c>
      <c r="H3" s="10">
        <f t="shared" ref="H3:H8" si="4">E3+F3-G3</f>
        <v>346333.81288785615</v>
      </c>
      <c r="I3" s="10"/>
      <c r="J3" s="10"/>
      <c r="K3" s="65"/>
      <c r="L3" s="10"/>
      <c r="M3" s="10"/>
    </row>
    <row r="4" spans="1:13" ht="30.75" customHeight="1" x14ac:dyDescent="0.3">
      <c r="A4" s="441" t="s">
        <v>115</v>
      </c>
      <c r="B4" s="441"/>
      <c r="C4" s="33">
        <f>'[1]ВОДОСНАБЖЕНИЕ 2016'!$C$32</f>
        <v>441208.84632440004</v>
      </c>
      <c r="D4" s="31">
        <f t="shared" si="0"/>
        <v>5.1811153589420167</v>
      </c>
      <c r="E4" s="284">
        <f t="shared" si="1"/>
        <v>34436.617415148765</v>
      </c>
      <c r="F4" s="284">
        <f t="shared" si="2"/>
        <v>441208.84632440004</v>
      </c>
      <c r="G4" s="284">
        <f t="shared" si="3"/>
        <v>296570.84971129528</v>
      </c>
      <c r="H4" s="10">
        <f t="shared" si="4"/>
        <v>179074.61402825353</v>
      </c>
      <c r="I4" s="10"/>
      <c r="J4" s="10"/>
      <c r="K4" s="65"/>
      <c r="L4" s="10"/>
      <c r="M4" s="10"/>
    </row>
    <row r="5" spans="1:13" ht="26.25" customHeight="1" x14ac:dyDescent="0.3">
      <c r="A5" s="441" t="s">
        <v>116</v>
      </c>
      <c r="B5" s="441"/>
      <c r="C5" s="33">
        <f>'[1]ВОДОСНАБЖЕНИЕ 2016'!$C$41</f>
        <v>894539.70283600013</v>
      </c>
      <c r="D5" s="31">
        <f t="shared" si="0"/>
        <v>10.504579480120716</v>
      </c>
      <c r="E5" s="284">
        <f t="shared" si="1"/>
        <v>69819.365059998803</v>
      </c>
      <c r="F5" s="284">
        <f t="shared" si="2"/>
        <v>894539.70283600013</v>
      </c>
      <c r="G5" s="284">
        <f t="shared" si="3"/>
        <v>601289.84715665388</v>
      </c>
      <c r="H5" s="10">
        <f t="shared" si="4"/>
        <v>363069.22073934507</v>
      </c>
      <c r="I5" s="10"/>
      <c r="J5" s="10"/>
      <c r="K5" s="65"/>
      <c r="L5" s="10"/>
      <c r="M5" s="10"/>
    </row>
    <row r="6" spans="1:13" ht="28.5" customHeight="1" x14ac:dyDescent="0.3">
      <c r="A6" s="441" t="s">
        <v>155</v>
      </c>
      <c r="B6" s="441"/>
      <c r="C6" s="33">
        <f>'[1]ВОДОСНАБЖЕНИЕ 2016'!$C$72</f>
        <v>1171783.6220251999</v>
      </c>
      <c r="D6" s="31">
        <f t="shared" si="0"/>
        <v>13.76025474558967</v>
      </c>
      <c r="E6" s="284">
        <f t="shared" si="1"/>
        <v>91458.420702992822</v>
      </c>
      <c r="F6" s="284">
        <f t="shared" si="2"/>
        <v>1171783.6220251999</v>
      </c>
      <c r="G6" s="284">
        <f t="shared" si="3"/>
        <v>787647.09129671438</v>
      </c>
      <c r="H6" s="10">
        <f t="shared" si="4"/>
        <v>475594.95143147826</v>
      </c>
      <c r="I6" s="10"/>
      <c r="J6" s="10"/>
      <c r="K6" s="65"/>
      <c r="L6" s="10"/>
      <c r="M6" s="10"/>
    </row>
    <row r="7" spans="1:13" ht="26.25" customHeight="1" x14ac:dyDescent="0.3">
      <c r="A7" s="441" t="s">
        <v>154</v>
      </c>
      <c r="B7" s="441"/>
      <c r="C7" s="33">
        <f>'[1]ВОДОСНАБЖЕНИЕ 2016'!$C$62</f>
        <v>666139.12909440009</v>
      </c>
      <c r="D7" s="31">
        <f t="shared" si="0"/>
        <v>7.8224716065770918</v>
      </c>
      <c r="E7" s="284">
        <f t="shared" si="1"/>
        <v>51992.562082533259</v>
      </c>
      <c r="F7" s="284">
        <f t="shared" si="2"/>
        <v>666139.12909440009</v>
      </c>
      <c r="G7" s="284">
        <f>D7*$G$9/100</f>
        <v>447764.02193036216</v>
      </c>
      <c r="H7" s="10">
        <f t="shared" si="4"/>
        <v>270367.6692465712</v>
      </c>
      <c r="I7" s="10"/>
      <c r="J7" s="10"/>
      <c r="K7" s="65"/>
      <c r="L7" s="10"/>
      <c r="M7" s="10"/>
    </row>
    <row r="8" spans="1:13" ht="33" customHeight="1" x14ac:dyDescent="0.3">
      <c r="A8" s="441" t="s">
        <v>158</v>
      </c>
      <c r="B8" s="441"/>
      <c r="C8" s="33">
        <f>'[1]ВОДОСНАБЖЕНИЕ 2016'!$C$52</f>
        <v>3807295.1242503994</v>
      </c>
      <c r="D8" s="31">
        <f t="shared" si="0"/>
        <v>44.709065578832877</v>
      </c>
      <c r="E8" s="284">
        <f t="shared" si="1"/>
        <v>297161.68810444255</v>
      </c>
      <c r="F8" s="284">
        <f t="shared" si="2"/>
        <v>3807295.1242503994</v>
      </c>
      <c r="G8" s="284">
        <f t="shared" si="3"/>
        <v>2559179.7614828749</v>
      </c>
      <c r="H8" s="10">
        <f t="shared" si="4"/>
        <v>1545277.0508719673</v>
      </c>
      <c r="I8" s="10"/>
      <c r="J8" s="10"/>
      <c r="K8" s="65"/>
      <c r="L8" s="10"/>
      <c r="M8" s="10"/>
    </row>
    <row r="9" spans="1:13" ht="30.75" customHeight="1" x14ac:dyDescent="0.25">
      <c r="A9" s="440" t="s">
        <v>169</v>
      </c>
      <c r="B9" s="440"/>
      <c r="C9" s="176">
        <f>SUM(C2:C8)</f>
        <v>8515711.6905904002</v>
      </c>
      <c r="D9" s="177">
        <f>SUM(D2:D8)</f>
        <v>100</v>
      </c>
      <c r="E9" s="285">
        <f>664656.45</f>
        <v>664656.44999999995</v>
      </c>
      <c r="F9" s="285">
        <f>SUM(F2:F8)</f>
        <v>8515711.6905904002</v>
      </c>
      <c r="G9" s="285">
        <f>(500000+14280282.47)-9056209</f>
        <v>5724073.4700000007</v>
      </c>
      <c r="H9" s="10">
        <f>SUM(H2:H8)</f>
        <v>3456294.6705903993</v>
      </c>
      <c r="J9" s="10"/>
      <c r="L9" s="10"/>
      <c r="M9" s="10"/>
    </row>
    <row r="12" spans="1:13" ht="45" x14ac:dyDescent="0.25">
      <c r="A12" s="442" t="s">
        <v>342</v>
      </c>
      <c r="B12" s="442"/>
      <c r="C12" t="s">
        <v>165</v>
      </c>
      <c r="D12" t="s">
        <v>166</v>
      </c>
      <c r="E12" s="122" t="s">
        <v>456</v>
      </c>
      <c r="F12" s="122" t="s">
        <v>231</v>
      </c>
      <c r="G12" s="122" t="s">
        <v>455</v>
      </c>
      <c r="H12" s="122" t="s">
        <v>458</v>
      </c>
      <c r="I12" s="122"/>
      <c r="J12" t="s">
        <v>450</v>
      </c>
      <c r="K12" s="162" t="s">
        <v>451</v>
      </c>
      <c r="L12" s="162" t="s">
        <v>452</v>
      </c>
      <c r="M12" s="162" t="s">
        <v>453</v>
      </c>
    </row>
    <row r="13" spans="1:13" ht="28.5" customHeight="1" x14ac:dyDescent="0.3">
      <c r="A13" s="441" t="s">
        <v>164</v>
      </c>
      <c r="B13" s="441"/>
      <c r="C13" s="274">
        <f>'[1]ВОДООТВЕДЕНИЕ 2016'!$C$12</f>
        <v>673190.09437279985</v>
      </c>
      <c r="D13" s="31">
        <f>C13/$C$20*100</f>
        <v>7.4334649917930982</v>
      </c>
      <c r="E13" s="284">
        <f>D13*$E$20/100</f>
        <v>0</v>
      </c>
      <c r="F13" s="284">
        <f>C13</f>
        <v>673190.09437279985</v>
      </c>
      <c r="G13" s="284">
        <f t="shared" ref="G13:G19" si="5">F13</f>
        <v>673190.09437279985</v>
      </c>
      <c r="H13" s="10">
        <f>D13*$H$20/100</f>
        <v>0</v>
      </c>
      <c r="I13" s="10">
        <f>E13+F13-G13</f>
        <v>0</v>
      </c>
      <c r="J13" s="10">
        <f>D13*$J$9/100</f>
        <v>0</v>
      </c>
      <c r="K13" s="65">
        <f>D13*$K$9/100</f>
        <v>0</v>
      </c>
      <c r="L13" s="10">
        <f>D13*$L$9/100</f>
        <v>0</v>
      </c>
      <c r="M13" s="10">
        <f>D13*$M$9/100</f>
        <v>0</v>
      </c>
    </row>
    <row r="14" spans="1:13" ht="25.5" customHeight="1" x14ac:dyDescent="0.3">
      <c r="A14" s="441" t="s">
        <v>112</v>
      </c>
      <c r="B14" s="441"/>
      <c r="C14" s="274">
        <f>'[1]ВОДООТВЕДЕНИЕ 2016'!$C$21</f>
        <v>872346.61827759992</v>
      </c>
      <c r="D14" s="31">
        <f t="shared" ref="D14:D19" si="6">C14/$C$20*100</f>
        <v>9.6325809037894299</v>
      </c>
      <c r="E14" s="284">
        <f t="shared" ref="E14:E19" si="7">D14*$E$20/100</f>
        <v>0</v>
      </c>
      <c r="F14" s="284">
        <f t="shared" ref="F14:F19" si="8">C14</f>
        <v>872346.61827759992</v>
      </c>
      <c r="G14" s="284">
        <f t="shared" si="5"/>
        <v>872346.61827759992</v>
      </c>
      <c r="H14" s="10">
        <f t="shared" ref="H14:H19" si="9">D14*$H$20/100</f>
        <v>0</v>
      </c>
      <c r="I14" s="10">
        <f t="shared" ref="I14:I19" si="10">E14+F14-G14</f>
        <v>0</v>
      </c>
      <c r="J14" s="10">
        <f t="shared" ref="J14:J19" si="11">D14*$J$9/100</f>
        <v>0</v>
      </c>
      <c r="K14" s="65">
        <f t="shared" ref="K14:K19" si="12">D14*$K$9/100</f>
        <v>0</v>
      </c>
      <c r="L14" s="10">
        <f t="shared" ref="L14:L19" si="13">D14*$L$9/100</f>
        <v>0</v>
      </c>
      <c r="M14" s="10">
        <f t="shared" ref="M14:M19" si="14">D14*$M$9/100</f>
        <v>0</v>
      </c>
    </row>
    <row r="15" spans="1:13" ht="28.5" customHeight="1" x14ac:dyDescent="0.3">
      <c r="A15" s="441" t="s">
        <v>115</v>
      </c>
      <c r="B15" s="441"/>
      <c r="C15" s="274">
        <f>'[1]ВОДООТВЕДЕНИЕ 2016'!$C$30</f>
        <v>537215.43536719994</v>
      </c>
      <c r="D15" s="31">
        <f t="shared" si="6"/>
        <v>5.9320126146144911</v>
      </c>
      <c r="E15" s="284">
        <f t="shared" si="7"/>
        <v>0</v>
      </c>
      <c r="F15" s="284">
        <f t="shared" si="8"/>
        <v>537215.43536719994</v>
      </c>
      <c r="G15" s="284">
        <f t="shared" si="5"/>
        <v>537215.43536719994</v>
      </c>
      <c r="H15" s="10">
        <f t="shared" si="9"/>
        <v>0</v>
      </c>
      <c r="I15" s="10">
        <f t="shared" si="10"/>
        <v>0</v>
      </c>
      <c r="J15" s="10">
        <f t="shared" si="11"/>
        <v>0</v>
      </c>
      <c r="K15" s="65">
        <f t="shared" si="12"/>
        <v>0</v>
      </c>
      <c r="L15" s="10">
        <f t="shared" si="13"/>
        <v>0</v>
      </c>
      <c r="M15" s="10">
        <f t="shared" si="14"/>
        <v>0</v>
      </c>
    </row>
    <row r="16" spans="1:13" ht="27" customHeight="1" x14ac:dyDescent="0.3">
      <c r="A16" s="441" t="s">
        <v>116</v>
      </c>
      <c r="B16" s="441"/>
      <c r="C16" s="274">
        <f>'[1]ВОДООТВЕДЕНИЕ 2016'!$C$39</f>
        <v>916951.32291059988</v>
      </c>
      <c r="D16" s="31">
        <f t="shared" si="6"/>
        <v>10.125112676211888</v>
      </c>
      <c r="E16" s="284">
        <f t="shared" si="7"/>
        <v>0</v>
      </c>
      <c r="F16" s="284">
        <f t="shared" si="8"/>
        <v>916951.32291059988</v>
      </c>
      <c r="G16" s="284">
        <f t="shared" si="5"/>
        <v>916951.32291059988</v>
      </c>
      <c r="H16" s="10">
        <f t="shared" si="9"/>
        <v>0</v>
      </c>
      <c r="I16" s="10">
        <f t="shared" si="10"/>
        <v>0</v>
      </c>
      <c r="J16" s="10">
        <f t="shared" si="11"/>
        <v>0</v>
      </c>
      <c r="K16" s="65">
        <f t="shared" si="12"/>
        <v>0</v>
      </c>
      <c r="L16" s="10">
        <f t="shared" si="13"/>
        <v>0</v>
      </c>
      <c r="M16" s="10">
        <f t="shared" si="14"/>
        <v>0</v>
      </c>
    </row>
    <row r="17" spans="1:13" ht="28.5" customHeight="1" x14ac:dyDescent="0.3">
      <c r="A17" s="441" t="s">
        <v>155</v>
      </c>
      <c r="B17" s="441"/>
      <c r="C17" s="274">
        <f>'[1]ВОДООТВЕДЕНИЕ 2016'!$C$66</f>
        <v>1133852.8821844</v>
      </c>
      <c r="D17" s="31">
        <f t="shared" si="6"/>
        <v>12.520171903916818</v>
      </c>
      <c r="E17" s="284">
        <f t="shared" si="7"/>
        <v>0</v>
      </c>
      <c r="F17" s="284">
        <f t="shared" si="8"/>
        <v>1133852.8821844</v>
      </c>
      <c r="G17" s="284">
        <f t="shared" si="5"/>
        <v>1133852.8821844</v>
      </c>
      <c r="H17" s="10">
        <f t="shared" si="9"/>
        <v>0</v>
      </c>
      <c r="I17" s="10">
        <f t="shared" si="10"/>
        <v>0</v>
      </c>
      <c r="J17" s="10">
        <f t="shared" si="11"/>
        <v>0</v>
      </c>
      <c r="K17" s="65">
        <f t="shared" si="12"/>
        <v>0</v>
      </c>
      <c r="L17" s="10">
        <f t="shared" si="13"/>
        <v>0</v>
      </c>
      <c r="M17" s="10">
        <f t="shared" si="14"/>
        <v>0</v>
      </c>
    </row>
    <row r="18" spans="1:13" ht="24" customHeight="1" x14ac:dyDescent="0.3">
      <c r="A18" s="441" t="s">
        <v>154</v>
      </c>
      <c r="B18" s="441"/>
      <c r="C18" s="274">
        <f>'[1]ВОДООТВЕДЕНИЕ 2016'!$C$57</f>
        <v>811417.82474199997</v>
      </c>
      <c r="D18" s="31">
        <f t="shared" si="6"/>
        <v>8.9597961175530205</v>
      </c>
      <c r="E18" s="284">
        <f t="shared" si="7"/>
        <v>0</v>
      </c>
      <c r="F18" s="284">
        <f t="shared" si="8"/>
        <v>811417.82474199997</v>
      </c>
      <c r="G18" s="284">
        <f t="shared" si="5"/>
        <v>811417.82474199997</v>
      </c>
      <c r="H18" s="10">
        <f t="shared" si="9"/>
        <v>0</v>
      </c>
      <c r="I18" s="10">
        <f t="shared" si="10"/>
        <v>0</v>
      </c>
      <c r="J18" s="10">
        <f t="shared" si="11"/>
        <v>0</v>
      </c>
      <c r="K18" s="65">
        <f t="shared" si="12"/>
        <v>0</v>
      </c>
      <c r="L18" s="10">
        <f t="shared" si="13"/>
        <v>0</v>
      </c>
      <c r="M18" s="10">
        <f t="shared" si="14"/>
        <v>0</v>
      </c>
    </row>
    <row r="19" spans="1:13" ht="22.5" customHeight="1" x14ac:dyDescent="0.3">
      <c r="A19" s="441" t="s">
        <v>158</v>
      </c>
      <c r="B19" s="441"/>
      <c r="C19" s="274">
        <f>'[1]ВОДООТВЕДЕНИЕ 2016'!$C$48</f>
        <v>4111234.4020745996</v>
      </c>
      <c r="D19" s="31">
        <f t="shared" si="6"/>
        <v>45.396860792121259</v>
      </c>
      <c r="E19" s="284">
        <f t="shared" si="7"/>
        <v>0</v>
      </c>
      <c r="F19" s="284">
        <f t="shared" si="8"/>
        <v>4111234.4020745996</v>
      </c>
      <c r="G19" s="284">
        <f t="shared" si="5"/>
        <v>4111234.4020745996</v>
      </c>
      <c r="H19" s="10">
        <f t="shared" si="9"/>
        <v>0</v>
      </c>
      <c r="I19" s="10">
        <f t="shared" si="10"/>
        <v>0</v>
      </c>
      <c r="J19" s="10">
        <f t="shared" si="11"/>
        <v>0</v>
      </c>
      <c r="K19" s="65">
        <f t="shared" si="12"/>
        <v>0</v>
      </c>
      <c r="L19" s="10">
        <f t="shared" si="13"/>
        <v>0</v>
      </c>
      <c r="M19" s="10">
        <f t="shared" si="14"/>
        <v>0</v>
      </c>
    </row>
    <row r="20" spans="1:13" ht="18" customHeight="1" x14ac:dyDescent="0.25">
      <c r="A20" s="440" t="s">
        <v>169</v>
      </c>
      <c r="B20" s="440"/>
      <c r="C20" s="176">
        <f>SUM(C13:C19)</f>
        <v>9056208.5799291991</v>
      </c>
      <c r="D20" s="177">
        <f>SUM(D13:D19)</f>
        <v>100</v>
      </c>
      <c r="E20" s="285">
        <v>0</v>
      </c>
      <c r="F20" s="285">
        <f>SUM(F13:F19)</f>
        <v>9056208.5799291991</v>
      </c>
      <c r="G20" s="285">
        <f>SUM(G13:G19)</f>
        <v>9056208.5799291991</v>
      </c>
      <c r="H20" s="10">
        <v>0</v>
      </c>
      <c r="J20" s="10">
        <f>1033805.33+38376908.22</f>
        <v>39410713.549999997</v>
      </c>
      <c r="K20">
        <f>1600000+19027459.32</f>
        <v>20627459.32</v>
      </c>
      <c r="L20" s="10">
        <f>(500000+14280282.47)*0.515</f>
        <v>7611845.4720500009</v>
      </c>
      <c r="M20" s="10">
        <f>(500000+14280282.47)*0.485</f>
        <v>7168436.9979499998</v>
      </c>
    </row>
  </sheetData>
  <mergeCells count="18">
    <mergeCell ref="A6:B6"/>
    <mergeCell ref="A1:B1"/>
    <mergeCell ref="A2:B2"/>
    <mergeCell ref="A3:B3"/>
    <mergeCell ref="A4:B4"/>
    <mergeCell ref="A5:B5"/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2"/>
  <sheetViews>
    <sheetView view="pageBreakPreview" zoomScaleNormal="100" zoomScaleSheetLayoutView="100" workbookViewId="0">
      <selection activeCell="H1" sqref="H1:L1048576"/>
    </sheetView>
  </sheetViews>
  <sheetFormatPr defaultRowHeight="15" x14ac:dyDescent="0.25"/>
  <cols>
    <col min="1" max="1" width="3.85546875" customWidth="1"/>
    <col min="2" max="3" width="46.140625" customWidth="1"/>
    <col min="4" max="4" width="15" customWidth="1"/>
    <col min="5" max="5" width="10.140625" customWidth="1"/>
    <col min="6" max="6" width="15" customWidth="1"/>
    <col min="7" max="7" width="10.140625" hidden="1" customWidth="1"/>
    <col min="8" max="12" width="0" hidden="1" customWidth="1"/>
  </cols>
  <sheetData>
    <row r="1" spans="1:7" ht="38.25" customHeight="1" x14ac:dyDescent="0.25">
      <c r="A1" s="470" t="s">
        <v>478</v>
      </c>
      <c r="B1" s="470"/>
      <c r="C1" s="470"/>
      <c r="D1" s="470"/>
      <c r="E1" s="470"/>
      <c r="F1" s="470"/>
      <c r="G1" s="470"/>
    </row>
    <row r="2" spans="1:7" ht="45" x14ac:dyDescent="0.25">
      <c r="A2" s="301" t="s">
        <v>0</v>
      </c>
      <c r="B2" s="302" t="s">
        <v>1</v>
      </c>
      <c r="C2" s="302" t="s">
        <v>105</v>
      </c>
      <c r="D2" s="302" t="s">
        <v>433</v>
      </c>
      <c r="E2" s="302" t="s">
        <v>2</v>
      </c>
      <c r="F2" s="302" t="s">
        <v>3</v>
      </c>
      <c r="G2" s="302" t="s">
        <v>2</v>
      </c>
    </row>
    <row r="3" spans="1:7" x14ac:dyDescent="0.25">
      <c r="A3" s="303" t="s">
        <v>4</v>
      </c>
      <c r="B3" s="304" t="s">
        <v>6</v>
      </c>
      <c r="C3" s="304" t="s">
        <v>468</v>
      </c>
      <c r="D3" s="304"/>
      <c r="E3" s="303" t="s">
        <v>5</v>
      </c>
      <c r="F3" s="301"/>
      <c r="G3" s="306" t="s">
        <v>5</v>
      </c>
    </row>
    <row r="4" spans="1:7" x14ac:dyDescent="0.25">
      <c r="A4" s="307" t="s">
        <v>7</v>
      </c>
      <c r="B4" s="304" t="s">
        <v>21</v>
      </c>
      <c r="C4" s="304" t="s">
        <v>469</v>
      </c>
      <c r="D4" s="304"/>
      <c r="E4" s="303" t="s">
        <v>5</v>
      </c>
      <c r="F4" s="304"/>
      <c r="G4" s="303" t="s">
        <v>5</v>
      </c>
    </row>
    <row r="5" spans="1:7" x14ac:dyDescent="0.25">
      <c r="A5" s="307" t="s">
        <v>8</v>
      </c>
      <c r="B5" s="304" t="s">
        <v>22</v>
      </c>
      <c r="C5" s="304" t="s">
        <v>470</v>
      </c>
      <c r="D5" s="304"/>
      <c r="E5" s="303" t="s">
        <v>5</v>
      </c>
      <c r="F5" s="304"/>
      <c r="G5" s="303" t="s">
        <v>5</v>
      </c>
    </row>
    <row r="6" spans="1:7" ht="30.75" customHeight="1" x14ac:dyDescent="0.25">
      <c r="A6" s="462" t="s">
        <v>485</v>
      </c>
      <c r="B6" s="462"/>
      <c r="C6" s="462"/>
      <c r="D6" s="462"/>
      <c r="E6" s="462"/>
      <c r="F6" s="462"/>
      <c r="G6" s="462"/>
    </row>
    <row r="7" spans="1:7" s="273" customFormat="1" ht="30.75" customHeight="1" x14ac:dyDescent="0.25">
      <c r="A7" s="308" t="s">
        <v>9</v>
      </c>
      <c r="B7" s="308" t="s">
        <v>370</v>
      </c>
      <c r="C7" s="308"/>
      <c r="D7" s="308"/>
      <c r="E7" s="308"/>
      <c r="F7" s="321">
        <v>0</v>
      </c>
      <c r="G7" s="308"/>
    </row>
    <row r="8" spans="1:7" ht="30" x14ac:dyDescent="0.25">
      <c r="A8" s="303" t="s">
        <v>10</v>
      </c>
      <c r="B8" s="310" t="s">
        <v>43</v>
      </c>
      <c r="C8" s="310"/>
      <c r="D8" s="310"/>
      <c r="E8" s="303" t="s">
        <v>15</v>
      </c>
      <c r="F8" s="322">
        <v>0</v>
      </c>
      <c r="G8" s="303" t="s">
        <v>15</v>
      </c>
    </row>
    <row r="9" spans="1:7" ht="30" x14ac:dyDescent="0.25">
      <c r="A9" s="303" t="s">
        <v>11</v>
      </c>
      <c r="B9" s="310" t="s">
        <v>374</v>
      </c>
      <c r="C9" s="310"/>
      <c r="D9" s="310"/>
      <c r="E9" s="303" t="s">
        <v>15</v>
      </c>
      <c r="F9" s="322">
        <v>708614.52</v>
      </c>
      <c r="G9" s="303" t="s">
        <v>15</v>
      </c>
    </row>
    <row r="10" spans="1:7" ht="33.75" customHeight="1" x14ac:dyDescent="0.25">
      <c r="A10" s="303" t="s">
        <v>12</v>
      </c>
      <c r="B10" s="310" t="s">
        <v>25</v>
      </c>
      <c r="C10" s="310"/>
      <c r="D10" s="310">
        <v>40.14</v>
      </c>
      <c r="E10" s="303" t="s">
        <v>15</v>
      </c>
      <c r="F10" s="323">
        <f>D10*I32*I33</f>
        <v>5680837.5839999998</v>
      </c>
      <c r="G10" s="303" t="s">
        <v>15</v>
      </c>
    </row>
    <row r="11" spans="1:7" x14ac:dyDescent="0.25">
      <c r="A11" s="303" t="s">
        <v>13</v>
      </c>
      <c r="B11" s="310" t="s">
        <v>26</v>
      </c>
      <c r="C11" s="310"/>
      <c r="D11" s="310"/>
      <c r="E11" s="303" t="s">
        <v>15</v>
      </c>
      <c r="F11" s="324"/>
      <c r="G11" s="303" t="s">
        <v>15</v>
      </c>
    </row>
    <row r="12" spans="1:7" x14ac:dyDescent="0.25">
      <c r="A12" s="303" t="s">
        <v>17</v>
      </c>
      <c r="B12" s="310" t="s">
        <v>27</v>
      </c>
      <c r="C12" s="310"/>
      <c r="D12" s="310"/>
      <c r="E12" s="303" t="s">
        <v>15</v>
      </c>
      <c r="F12" s="324"/>
      <c r="G12" s="303" t="s">
        <v>15</v>
      </c>
    </row>
    <row r="13" spans="1:7" x14ac:dyDescent="0.25">
      <c r="A13" s="303" t="s">
        <v>18</v>
      </c>
      <c r="B13" s="310" t="s">
        <v>28</v>
      </c>
      <c r="C13" s="310"/>
      <c r="D13" s="310">
        <v>3.41</v>
      </c>
      <c r="E13" s="303" t="s">
        <v>15</v>
      </c>
      <c r="F13" s="324">
        <f>D13*I32*I33</f>
        <v>482602.29599999997</v>
      </c>
      <c r="G13" s="303" t="s">
        <v>15</v>
      </c>
    </row>
    <row r="14" spans="1:7" x14ac:dyDescent="0.25">
      <c r="A14" s="303" t="s">
        <v>19</v>
      </c>
      <c r="B14" s="310" t="s">
        <v>29</v>
      </c>
      <c r="C14" s="310"/>
      <c r="D14" s="310"/>
      <c r="E14" s="303" t="s">
        <v>15</v>
      </c>
      <c r="F14" s="323">
        <v>6086652.9800000004</v>
      </c>
      <c r="G14" s="303" t="s">
        <v>15</v>
      </c>
    </row>
    <row r="15" spans="1:7" x14ac:dyDescent="0.25">
      <c r="A15" s="303" t="s">
        <v>20</v>
      </c>
      <c r="B15" s="310" t="s">
        <v>30</v>
      </c>
      <c r="C15" s="310"/>
      <c r="D15" s="310"/>
      <c r="E15" s="303" t="s">
        <v>15</v>
      </c>
      <c r="F15" s="322"/>
      <c r="G15" s="303" t="s">
        <v>15</v>
      </c>
    </row>
    <row r="16" spans="1:7" x14ac:dyDescent="0.25">
      <c r="A16" s="303" t="s">
        <v>31</v>
      </c>
      <c r="B16" s="310" t="s">
        <v>32</v>
      </c>
      <c r="C16" s="310"/>
      <c r="D16" s="310"/>
      <c r="E16" s="303" t="s">
        <v>15</v>
      </c>
      <c r="F16" s="322">
        <v>0</v>
      </c>
      <c r="G16" s="303" t="s">
        <v>15</v>
      </c>
    </row>
    <row r="17" spans="1:9" x14ac:dyDescent="0.25">
      <c r="A17" s="303" t="s">
        <v>33</v>
      </c>
      <c r="B17" s="310" t="s">
        <v>34</v>
      </c>
      <c r="C17" s="310"/>
      <c r="D17" s="310"/>
      <c r="E17" s="303" t="s">
        <v>15</v>
      </c>
      <c r="F17" s="322">
        <v>0</v>
      </c>
      <c r="G17" s="303" t="s">
        <v>15</v>
      </c>
    </row>
    <row r="18" spans="1:9" ht="30" x14ac:dyDescent="0.25">
      <c r="A18" s="303" t="s">
        <v>35</v>
      </c>
      <c r="B18" s="310" t="s">
        <v>36</v>
      </c>
      <c r="C18" s="310"/>
      <c r="D18" s="310"/>
      <c r="E18" s="303" t="s">
        <v>15</v>
      </c>
      <c r="F18" s="322">
        <v>0</v>
      </c>
      <c r="G18" s="303" t="s">
        <v>15</v>
      </c>
    </row>
    <row r="19" spans="1:9" x14ac:dyDescent="0.25">
      <c r="A19" s="303" t="s">
        <v>38</v>
      </c>
      <c r="B19" s="310" t="s">
        <v>37</v>
      </c>
      <c r="C19" s="310"/>
      <c r="D19" s="310"/>
      <c r="E19" s="303" t="s">
        <v>15</v>
      </c>
      <c r="F19" s="322">
        <v>0</v>
      </c>
      <c r="G19" s="303" t="s">
        <v>15</v>
      </c>
    </row>
    <row r="20" spans="1:9" x14ac:dyDescent="0.25">
      <c r="A20" s="303" t="s">
        <v>39</v>
      </c>
      <c r="B20" s="310" t="s">
        <v>40</v>
      </c>
      <c r="C20" s="310"/>
      <c r="D20" s="310"/>
      <c r="E20" s="303" t="s">
        <v>15</v>
      </c>
      <c r="F20" s="324">
        <f>F15</f>
        <v>0</v>
      </c>
      <c r="G20" s="303" t="s">
        <v>15</v>
      </c>
    </row>
    <row r="21" spans="1:9" ht="30" x14ac:dyDescent="0.25">
      <c r="A21" s="303" t="s">
        <v>41</v>
      </c>
      <c r="B21" s="310" t="s">
        <v>381</v>
      </c>
      <c r="C21" s="310"/>
      <c r="D21" s="310"/>
      <c r="E21" s="303" t="s">
        <v>15</v>
      </c>
      <c r="F21" s="322">
        <v>0</v>
      </c>
      <c r="G21" s="303" t="s">
        <v>15</v>
      </c>
    </row>
    <row r="22" spans="1:9" ht="30" x14ac:dyDescent="0.25">
      <c r="A22" s="303" t="s">
        <v>44</v>
      </c>
      <c r="B22" s="310" t="s">
        <v>42</v>
      </c>
      <c r="C22" s="310"/>
      <c r="D22" s="310"/>
      <c r="E22" s="303" t="s">
        <v>15</v>
      </c>
      <c r="F22" s="322">
        <v>0</v>
      </c>
      <c r="G22" s="303" t="s">
        <v>15</v>
      </c>
    </row>
    <row r="23" spans="1:9" ht="30" x14ac:dyDescent="0.25">
      <c r="A23" s="303" t="s">
        <v>45</v>
      </c>
      <c r="B23" s="310" t="s">
        <v>382</v>
      </c>
      <c r="C23" s="310"/>
      <c r="D23" s="310"/>
      <c r="E23" s="303" t="s">
        <v>15</v>
      </c>
      <c r="F23" s="322">
        <f>F9+F10-F14</f>
        <v>302799.12399999984</v>
      </c>
      <c r="G23" s="303" t="s">
        <v>15</v>
      </c>
    </row>
    <row r="24" spans="1:9" ht="44.25" customHeight="1" x14ac:dyDescent="0.25">
      <c r="A24" s="472" t="s">
        <v>46</v>
      </c>
      <c r="B24" s="472"/>
      <c r="C24" s="472"/>
      <c r="D24" s="472"/>
      <c r="E24" s="472"/>
      <c r="F24" s="472"/>
      <c r="G24" s="472"/>
    </row>
    <row r="25" spans="1:9" x14ac:dyDescent="0.25">
      <c r="A25" s="332" t="s">
        <v>47</v>
      </c>
      <c r="B25" s="310" t="s">
        <v>48</v>
      </c>
      <c r="C25" s="310"/>
      <c r="D25" s="310"/>
      <c r="E25" s="303" t="s">
        <v>5</v>
      </c>
      <c r="F25" s="310"/>
      <c r="G25" s="303" t="s">
        <v>5</v>
      </c>
    </row>
    <row r="26" spans="1:9" x14ac:dyDescent="0.25">
      <c r="A26" s="332" t="s">
        <v>49</v>
      </c>
      <c r="B26" s="310" t="s">
        <v>387</v>
      </c>
      <c r="C26" s="310"/>
      <c r="D26" s="310">
        <v>40.14</v>
      </c>
      <c r="E26" s="303" t="s">
        <v>5</v>
      </c>
      <c r="F26" s="363">
        <f>D26*I32*I33</f>
        <v>5680837.5839999998</v>
      </c>
      <c r="G26" s="303" t="s">
        <v>5</v>
      </c>
    </row>
    <row r="27" spans="1:9" hidden="1" x14ac:dyDescent="0.25">
      <c r="A27" s="332" t="s">
        <v>51</v>
      </c>
      <c r="B27" s="310" t="s">
        <v>48</v>
      </c>
      <c r="C27" s="310"/>
      <c r="D27" s="310"/>
      <c r="E27" s="303" t="s">
        <v>5</v>
      </c>
      <c r="F27" s="310"/>
      <c r="G27" s="303" t="s">
        <v>5</v>
      </c>
    </row>
    <row r="28" spans="1:9" ht="30" hidden="1" x14ac:dyDescent="0.25">
      <c r="A28" s="332" t="s">
        <v>54</v>
      </c>
      <c r="B28" s="310" t="s">
        <v>415</v>
      </c>
      <c r="C28" s="310"/>
      <c r="D28" s="310"/>
      <c r="E28" s="303"/>
      <c r="F28" s="310"/>
      <c r="G28" s="303"/>
    </row>
    <row r="29" spans="1:9" hidden="1" x14ac:dyDescent="0.25">
      <c r="A29" s="332" t="s">
        <v>56</v>
      </c>
      <c r="B29" s="310" t="s">
        <v>416</v>
      </c>
      <c r="C29" s="310"/>
      <c r="D29" s="310"/>
      <c r="E29" s="303"/>
      <c r="F29" s="310"/>
      <c r="G29" s="303"/>
    </row>
    <row r="30" spans="1:9" hidden="1" x14ac:dyDescent="0.25">
      <c r="A30" s="332" t="s">
        <v>59</v>
      </c>
      <c r="B30" s="310" t="s">
        <v>417</v>
      </c>
      <c r="C30" s="310"/>
      <c r="D30" s="310"/>
      <c r="E30" s="303"/>
      <c r="F30" s="310"/>
      <c r="G30" s="303"/>
    </row>
    <row r="31" spans="1:9" ht="60" hidden="1" x14ac:dyDescent="0.25">
      <c r="A31" s="303"/>
      <c r="B31" s="304" t="s">
        <v>429</v>
      </c>
      <c r="C31" s="304" t="s">
        <v>430</v>
      </c>
      <c r="D31" s="304" t="s">
        <v>433</v>
      </c>
      <c r="E31" s="303"/>
      <c r="F31" s="337" t="s">
        <v>387</v>
      </c>
      <c r="G31" s="303"/>
    </row>
    <row r="32" spans="1:9" ht="26.25" x14ac:dyDescent="0.25">
      <c r="A32" s="332"/>
      <c r="B32" s="338" t="s">
        <v>388</v>
      </c>
      <c r="C32" s="468" t="s">
        <v>419</v>
      </c>
      <c r="D32" s="317">
        <v>6.31</v>
      </c>
      <c r="E32" s="303" t="s">
        <v>15</v>
      </c>
      <c r="F32" s="322">
        <f>D32*$I$32*$I$33</f>
        <v>893026.53599999996</v>
      </c>
      <c r="G32" s="303" t="s">
        <v>15</v>
      </c>
      <c r="I32">
        <f>11793.8</f>
        <v>11793.8</v>
      </c>
    </row>
    <row r="33" spans="1:9" x14ac:dyDescent="0.25">
      <c r="A33" s="332"/>
      <c r="B33" s="338" t="s">
        <v>389</v>
      </c>
      <c r="C33" s="468"/>
      <c r="D33" s="317"/>
      <c r="E33" s="303" t="s">
        <v>15</v>
      </c>
      <c r="F33" s="322">
        <f t="shared" ref="F33:F58" si="0">D33*$I$32*$I$33</f>
        <v>0</v>
      </c>
      <c r="G33" s="303" t="s">
        <v>15</v>
      </c>
      <c r="I33">
        <v>12</v>
      </c>
    </row>
    <row r="34" spans="1:9" x14ac:dyDescent="0.25">
      <c r="A34" s="332"/>
      <c r="B34" s="310" t="s">
        <v>390</v>
      </c>
      <c r="C34" s="468"/>
      <c r="D34" s="317">
        <v>0.82</v>
      </c>
      <c r="E34" s="303" t="s">
        <v>15</v>
      </c>
      <c r="F34" s="322">
        <f t="shared" si="0"/>
        <v>116050.992</v>
      </c>
      <c r="G34" s="303" t="s">
        <v>15</v>
      </c>
    </row>
    <row r="35" spans="1:9" x14ac:dyDescent="0.25">
      <c r="A35" s="332"/>
      <c r="B35" s="310" t="s">
        <v>391</v>
      </c>
      <c r="C35" s="468"/>
      <c r="D35" s="317">
        <v>0.16</v>
      </c>
      <c r="E35" s="303" t="s">
        <v>15</v>
      </c>
      <c r="F35" s="322">
        <f t="shared" si="0"/>
        <v>22644.095999999998</v>
      </c>
      <c r="G35" s="303" t="s">
        <v>15</v>
      </c>
    </row>
    <row r="36" spans="1:9" ht="24.75" customHeight="1" x14ac:dyDescent="0.25">
      <c r="A36" s="332"/>
      <c r="B36" s="310" t="s">
        <v>392</v>
      </c>
      <c r="C36" s="310" t="s">
        <v>418</v>
      </c>
      <c r="D36" s="317">
        <v>1.3</v>
      </c>
      <c r="E36" s="303" t="s">
        <v>15</v>
      </c>
      <c r="F36" s="322">
        <f t="shared" si="0"/>
        <v>183983.27999999997</v>
      </c>
      <c r="G36" s="303" t="s">
        <v>15</v>
      </c>
    </row>
    <row r="37" spans="1:9" ht="43.5" customHeight="1" x14ac:dyDescent="0.25">
      <c r="A37" s="332"/>
      <c r="B37" s="310" t="s">
        <v>393</v>
      </c>
      <c r="C37" s="310" t="s">
        <v>424</v>
      </c>
      <c r="D37" s="317">
        <v>0.17</v>
      </c>
      <c r="E37" s="303" t="s">
        <v>15</v>
      </c>
      <c r="F37" s="322">
        <f t="shared" si="0"/>
        <v>24059.351999999999</v>
      </c>
      <c r="G37" s="303" t="s">
        <v>15</v>
      </c>
    </row>
    <row r="38" spans="1:9" ht="30" x14ac:dyDescent="0.25">
      <c r="A38" s="332"/>
      <c r="B38" s="310" t="s">
        <v>394</v>
      </c>
      <c r="C38" s="310" t="s">
        <v>425</v>
      </c>
      <c r="D38" s="317">
        <v>1.33</v>
      </c>
      <c r="E38" s="303" t="s">
        <v>15</v>
      </c>
      <c r="F38" s="322">
        <f t="shared" si="0"/>
        <v>188229.04799999998</v>
      </c>
      <c r="G38" s="303" t="s">
        <v>15</v>
      </c>
    </row>
    <row r="39" spans="1:9" ht="26.25" x14ac:dyDescent="0.25">
      <c r="A39" s="332"/>
      <c r="B39" s="338" t="s">
        <v>395</v>
      </c>
      <c r="C39" s="468" t="s">
        <v>426</v>
      </c>
      <c r="D39" s="317">
        <v>2.0299999999999998</v>
      </c>
      <c r="E39" s="303" t="s">
        <v>15</v>
      </c>
      <c r="F39" s="322">
        <f t="shared" si="0"/>
        <v>287296.96799999999</v>
      </c>
      <c r="G39" s="303" t="s">
        <v>15</v>
      </c>
    </row>
    <row r="40" spans="1:9" ht="30" x14ac:dyDescent="0.25">
      <c r="A40" s="332"/>
      <c r="B40" s="310" t="s">
        <v>396</v>
      </c>
      <c r="C40" s="468"/>
      <c r="D40" s="317">
        <v>1.4</v>
      </c>
      <c r="E40" s="303" t="s">
        <v>15</v>
      </c>
      <c r="F40" s="322">
        <f t="shared" si="0"/>
        <v>198135.84</v>
      </c>
      <c r="G40" s="303" t="s">
        <v>15</v>
      </c>
    </row>
    <row r="41" spans="1:9" ht="26.25" x14ac:dyDescent="0.25">
      <c r="A41" s="332"/>
      <c r="B41" s="338" t="s">
        <v>397</v>
      </c>
      <c r="C41" s="468"/>
      <c r="D41" s="317">
        <v>0.52</v>
      </c>
      <c r="E41" s="303" t="s">
        <v>15</v>
      </c>
      <c r="F41" s="322">
        <f t="shared" si="0"/>
        <v>73593.312000000005</v>
      </c>
      <c r="G41" s="303" t="s">
        <v>15</v>
      </c>
    </row>
    <row r="42" spans="1:9" ht="26.25" x14ac:dyDescent="0.25">
      <c r="A42" s="332"/>
      <c r="B42" s="359" t="s">
        <v>398</v>
      </c>
      <c r="C42" s="468"/>
      <c r="D42" s="301">
        <v>0.56000000000000005</v>
      </c>
      <c r="E42" s="303" t="s">
        <v>15</v>
      </c>
      <c r="F42" s="322">
        <f>SUM(F43:F46)</f>
        <v>79254.335999999981</v>
      </c>
      <c r="G42" s="303" t="s">
        <v>15</v>
      </c>
    </row>
    <row r="43" spans="1:9" x14ac:dyDescent="0.25">
      <c r="A43" s="332"/>
      <c r="B43" s="338" t="s">
        <v>399</v>
      </c>
      <c r="C43" s="310"/>
      <c r="D43" s="317">
        <v>0.13</v>
      </c>
      <c r="E43" s="303" t="s">
        <v>15</v>
      </c>
      <c r="F43" s="322">
        <f t="shared" si="0"/>
        <v>18398.328000000001</v>
      </c>
      <c r="G43" s="303" t="s">
        <v>15</v>
      </c>
    </row>
    <row r="44" spans="1:9" x14ac:dyDescent="0.25">
      <c r="A44" s="332"/>
      <c r="B44" s="338" t="s">
        <v>400</v>
      </c>
      <c r="C44" s="310"/>
      <c r="D44" s="317"/>
      <c r="E44" s="303" t="s">
        <v>15</v>
      </c>
      <c r="F44" s="322">
        <f t="shared" si="0"/>
        <v>0</v>
      </c>
      <c r="G44" s="303" t="s">
        <v>15</v>
      </c>
    </row>
    <row r="45" spans="1:9" x14ac:dyDescent="0.25">
      <c r="A45" s="332"/>
      <c r="B45" s="338" t="s">
        <v>401</v>
      </c>
      <c r="C45" s="310"/>
      <c r="D45" s="317">
        <v>0.38</v>
      </c>
      <c r="E45" s="303" t="s">
        <v>15</v>
      </c>
      <c r="F45" s="322">
        <f t="shared" si="0"/>
        <v>53779.727999999988</v>
      </c>
      <c r="G45" s="303" t="s">
        <v>15</v>
      </c>
    </row>
    <row r="46" spans="1:9" x14ac:dyDescent="0.25">
      <c r="A46" s="332"/>
      <c r="B46" s="338" t="s">
        <v>402</v>
      </c>
      <c r="C46" s="310"/>
      <c r="D46" s="317">
        <v>0.05</v>
      </c>
      <c r="E46" s="303" t="s">
        <v>15</v>
      </c>
      <c r="F46" s="322">
        <f t="shared" si="0"/>
        <v>7076.2799999999988</v>
      </c>
      <c r="G46" s="303" t="s">
        <v>15</v>
      </c>
    </row>
    <row r="47" spans="1:9" x14ac:dyDescent="0.25">
      <c r="A47" s="332"/>
      <c r="B47" s="338" t="s">
        <v>403</v>
      </c>
      <c r="C47" s="468" t="s">
        <v>427</v>
      </c>
      <c r="D47" s="317">
        <v>0.6</v>
      </c>
      <c r="E47" s="303" t="s">
        <v>15</v>
      </c>
      <c r="F47" s="322">
        <f t="shared" si="0"/>
        <v>84915.36</v>
      </c>
      <c r="G47" s="303" t="s">
        <v>15</v>
      </c>
    </row>
    <row r="48" spans="1:9" ht="30" x14ac:dyDescent="0.25">
      <c r="A48" s="332"/>
      <c r="B48" s="310" t="s">
        <v>404</v>
      </c>
      <c r="C48" s="468"/>
      <c r="D48" s="317">
        <v>0.01</v>
      </c>
      <c r="E48" s="303" t="s">
        <v>15</v>
      </c>
      <c r="F48" s="322">
        <f t="shared" si="0"/>
        <v>1415.2559999999999</v>
      </c>
      <c r="G48" s="303" t="s">
        <v>15</v>
      </c>
    </row>
    <row r="49" spans="1:7" ht="31.5" customHeight="1" x14ac:dyDescent="0.25">
      <c r="A49" s="332"/>
      <c r="B49" s="310" t="s">
        <v>405</v>
      </c>
      <c r="C49" s="468"/>
      <c r="D49" s="317">
        <v>0.38</v>
      </c>
      <c r="E49" s="303" t="s">
        <v>15</v>
      </c>
      <c r="F49" s="322">
        <f t="shared" si="0"/>
        <v>53779.727999999988</v>
      </c>
      <c r="G49" s="303" t="s">
        <v>15</v>
      </c>
    </row>
    <row r="50" spans="1:7" x14ac:dyDescent="0.25">
      <c r="A50" s="332"/>
      <c r="B50" s="338" t="s">
        <v>406</v>
      </c>
      <c r="C50" s="310" t="s">
        <v>428</v>
      </c>
      <c r="D50" s="317">
        <v>6.53</v>
      </c>
      <c r="E50" s="303" t="s">
        <v>15</v>
      </c>
      <c r="F50" s="322">
        <f t="shared" si="0"/>
        <v>924162.16799999995</v>
      </c>
      <c r="G50" s="303" t="s">
        <v>15</v>
      </c>
    </row>
    <row r="51" spans="1:7" ht="30" x14ac:dyDescent="0.25">
      <c r="A51" s="332"/>
      <c r="B51" s="310" t="s">
        <v>407</v>
      </c>
      <c r="C51" s="310" t="s">
        <v>422</v>
      </c>
      <c r="D51" s="317">
        <v>8.08</v>
      </c>
      <c r="E51" s="303" t="s">
        <v>15</v>
      </c>
      <c r="F51" s="322">
        <f t="shared" si="0"/>
        <v>1143526.848</v>
      </c>
      <c r="G51" s="303" t="s">
        <v>15</v>
      </c>
    </row>
    <row r="52" spans="1:7" x14ac:dyDescent="0.25">
      <c r="A52" s="332"/>
      <c r="B52" s="338" t="s">
        <v>408</v>
      </c>
      <c r="C52" s="310" t="s">
        <v>422</v>
      </c>
      <c r="D52" s="317">
        <v>3.12</v>
      </c>
      <c r="E52" s="303" t="s">
        <v>15</v>
      </c>
      <c r="F52" s="322">
        <f t="shared" si="0"/>
        <v>441559.87199999997</v>
      </c>
      <c r="G52" s="303" t="s">
        <v>15</v>
      </c>
    </row>
    <row r="53" spans="1:7" ht="26.25" x14ac:dyDescent="0.25">
      <c r="A53" s="332"/>
      <c r="B53" s="338" t="s">
        <v>409</v>
      </c>
      <c r="C53" s="310" t="s">
        <v>422</v>
      </c>
      <c r="D53" s="317">
        <v>1.5</v>
      </c>
      <c r="E53" s="303" t="s">
        <v>15</v>
      </c>
      <c r="F53" s="322">
        <f t="shared" si="0"/>
        <v>212288.39999999997</v>
      </c>
      <c r="G53" s="303" t="s">
        <v>15</v>
      </c>
    </row>
    <row r="54" spans="1:7" ht="51" x14ac:dyDescent="0.25">
      <c r="A54" s="332"/>
      <c r="B54" s="360" t="s">
        <v>410</v>
      </c>
      <c r="C54" s="310" t="s">
        <v>422</v>
      </c>
      <c r="D54" s="317">
        <v>0.44</v>
      </c>
      <c r="E54" s="303" t="s">
        <v>15</v>
      </c>
      <c r="F54" s="322">
        <f t="shared" si="0"/>
        <v>62271.263999999996</v>
      </c>
      <c r="G54" s="303" t="s">
        <v>15</v>
      </c>
    </row>
    <row r="55" spans="1:7" ht="26.25" x14ac:dyDescent="0.25">
      <c r="A55" s="332"/>
      <c r="B55" s="338" t="s">
        <v>411</v>
      </c>
      <c r="C55" s="310" t="s">
        <v>422</v>
      </c>
      <c r="D55" s="317"/>
      <c r="E55" s="303" t="s">
        <v>15</v>
      </c>
      <c r="F55" s="322">
        <f>D55*$I$32*6</f>
        <v>0</v>
      </c>
      <c r="G55" s="303" t="s">
        <v>15</v>
      </c>
    </row>
    <row r="56" spans="1:7" ht="39" x14ac:dyDescent="0.25">
      <c r="A56" s="332"/>
      <c r="B56" s="361" t="s">
        <v>412</v>
      </c>
      <c r="C56" s="310" t="s">
        <v>428</v>
      </c>
      <c r="D56" s="317">
        <v>0.19</v>
      </c>
      <c r="E56" s="303" t="s">
        <v>15</v>
      </c>
      <c r="F56" s="322">
        <f t="shared" si="0"/>
        <v>26889.863999999994</v>
      </c>
      <c r="G56" s="303" t="s">
        <v>15</v>
      </c>
    </row>
    <row r="57" spans="1:7" ht="26.25" x14ac:dyDescent="0.25">
      <c r="A57" s="332"/>
      <c r="B57" s="338" t="s">
        <v>413</v>
      </c>
      <c r="C57" s="310" t="s">
        <v>423</v>
      </c>
      <c r="D57" s="317">
        <v>1.28</v>
      </c>
      <c r="E57" s="303" t="s">
        <v>15</v>
      </c>
      <c r="F57" s="322">
        <f t="shared" si="0"/>
        <v>181152.76799999998</v>
      </c>
      <c r="G57" s="303" t="s">
        <v>15</v>
      </c>
    </row>
    <row r="58" spans="1:7" ht="27" thickBot="1" x14ac:dyDescent="0.3">
      <c r="A58" s="351"/>
      <c r="B58" s="362" t="s">
        <v>414</v>
      </c>
      <c r="C58" s="353" t="s">
        <v>418</v>
      </c>
      <c r="D58" s="354">
        <v>3.41</v>
      </c>
      <c r="E58" s="355" t="s">
        <v>15</v>
      </c>
      <c r="F58" s="322">
        <f t="shared" si="0"/>
        <v>482602.29599999997</v>
      </c>
      <c r="G58" s="355" t="s">
        <v>15</v>
      </c>
    </row>
    <row r="59" spans="1:7" x14ac:dyDescent="0.25">
      <c r="A59" s="444" t="s">
        <v>53</v>
      </c>
      <c r="B59" s="444"/>
      <c r="C59" s="444"/>
      <c r="D59" s="444"/>
      <c r="E59" s="444"/>
      <c r="F59" s="444"/>
      <c r="G59" s="444"/>
    </row>
    <row r="60" spans="1:7" x14ac:dyDescent="0.25">
      <c r="A60" s="4" t="s">
        <v>61</v>
      </c>
      <c r="B60" s="5" t="s">
        <v>55</v>
      </c>
      <c r="C60" s="5"/>
      <c r="D60" s="5"/>
      <c r="E60" s="4" t="s">
        <v>58</v>
      </c>
      <c r="F60" s="295">
        <v>0</v>
      </c>
      <c r="G60" s="4" t="s">
        <v>58</v>
      </c>
    </row>
    <row r="61" spans="1:7" x14ac:dyDescent="0.25">
      <c r="A61" s="4" t="s">
        <v>64</v>
      </c>
      <c r="B61" s="5" t="s">
        <v>57</v>
      </c>
      <c r="C61" s="5"/>
      <c r="D61" s="5"/>
      <c r="E61" s="4" t="s">
        <v>58</v>
      </c>
      <c r="F61" s="295">
        <v>0</v>
      </c>
      <c r="G61" s="4" t="s">
        <v>58</v>
      </c>
    </row>
    <row r="62" spans="1:7" ht="30" x14ac:dyDescent="0.25">
      <c r="A62" s="4" t="s">
        <v>65</v>
      </c>
      <c r="B62" s="5" t="s">
        <v>60</v>
      </c>
      <c r="C62" s="5"/>
      <c r="D62" s="5"/>
      <c r="E62" s="4" t="s">
        <v>58</v>
      </c>
      <c r="F62" s="295">
        <v>0</v>
      </c>
      <c r="G62" s="4" t="s">
        <v>58</v>
      </c>
    </row>
    <row r="63" spans="1:7" x14ac:dyDescent="0.25">
      <c r="A63" s="4" t="s">
        <v>67</v>
      </c>
      <c r="B63" s="5" t="s">
        <v>62</v>
      </c>
      <c r="C63" s="5"/>
      <c r="D63" s="5"/>
      <c r="E63" s="4" t="s">
        <v>15</v>
      </c>
      <c r="F63" s="295">
        <v>0</v>
      </c>
      <c r="G63" s="4" t="s">
        <v>15</v>
      </c>
    </row>
    <row r="64" spans="1:7" x14ac:dyDescent="0.25">
      <c r="A64" s="453" t="s">
        <v>354</v>
      </c>
      <c r="B64" s="453"/>
      <c r="C64" s="453"/>
      <c r="D64" s="453"/>
      <c r="E64" s="453"/>
      <c r="F64" s="453"/>
      <c r="G64" s="453"/>
    </row>
    <row r="65" spans="1:7" ht="30" x14ac:dyDescent="0.25">
      <c r="A65" s="303" t="s">
        <v>68</v>
      </c>
      <c r="B65" s="310" t="s">
        <v>439</v>
      </c>
      <c r="C65" s="310"/>
      <c r="D65" s="310"/>
      <c r="E65" s="303" t="s">
        <v>15</v>
      </c>
      <c r="F65" s="322">
        <v>0</v>
      </c>
      <c r="G65" s="303" t="s">
        <v>15</v>
      </c>
    </row>
    <row r="66" spans="1:7" ht="30" x14ac:dyDescent="0.25">
      <c r="A66" s="303" t="s">
        <v>70</v>
      </c>
      <c r="B66" s="310" t="s">
        <v>371</v>
      </c>
      <c r="C66" s="310"/>
      <c r="D66" s="310"/>
      <c r="E66" s="303" t="s">
        <v>15</v>
      </c>
      <c r="F66" s="322">
        <v>0</v>
      </c>
      <c r="G66" s="303" t="s">
        <v>15</v>
      </c>
    </row>
    <row r="67" spans="1:7" ht="30" x14ac:dyDescent="0.25">
      <c r="A67" s="303" t="s">
        <v>71</v>
      </c>
      <c r="B67" s="310" t="s">
        <v>440</v>
      </c>
      <c r="C67" s="310"/>
      <c r="D67" s="310"/>
      <c r="E67" s="303" t="s">
        <v>15</v>
      </c>
      <c r="F67" s="324">
        <v>965894.43</v>
      </c>
      <c r="G67" s="303" t="s">
        <v>15</v>
      </c>
    </row>
    <row r="68" spans="1:7" ht="30" x14ac:dyDescent="0.25">
      <c r="A68" s="303" t="s">
        <v>73</v>
      </c>
      <c r="B68" s="310" t="s">
        <v>443</v>
      </c>
      <c r="C68" s="310"/>
      <c r="D68" s="310"/>
      <c r="E68" s="303" t="s">
        <v>15</v>
      </c>
      <c r="F68" s="322">
        <v>0</v>
      </c>
      <c r="G68" s="303" t="s">
        <v>15</v>
      </c>
    </row>
    <row r="69" spans="1:7" ht="30" x14ac:dyDescent="0.25">
      <c r="A69" s="303" t="s">
        <v>74</v>
      </c>
      <c r="B69" s="310" t="s">
        <v>441</v>
      </c>
      <c r="C69" s="310"/>
      <c r="D69" s="310"/>
      <c r="E69" s="303" t="s">
        <v>15</v>
      </c>
      <c r="F69" s="322">
        <v>0</v>
      </c>
      <c r="G69" s="303" t="s">
        <v>15</v>
      </c>
    </row>
    <row r="70" spans="1:7" ht="30" x14ac:dyDescent="0.25">
      <c r="A70" s="303" t="s">
        <v>75</v>
      </c>
      <c r="B70" s="310" t="s">
        <v>442</v>
      </c>
      <c r="C70" s="310"/>
      <c r="D70" s="310"/>
      <c r="E70" s="303" t="s">
        <v>15</v>
      </c>
      <c r="F70" s="324">
        <f>F67+F77+F88+F99+F110</f>
        <v>1091138.2100000002</v>
      </c>
      <c r="G70" s="303" t="s">
        <v>15</v>
      </c>
    </row>
    <row r="71" spans="1:7" x14ac:dyDescent="0.25">
      <c r="A71" s="456" t="s">
        <v>349</v>
      </c>
      <c r="B71" s="456"/>
      <c r="C71" s="456"/>
      <c r="D71" s="456"/>
      <c r="E71" s="456"/>
      <c r="F71" s="456"/>
      <c r="G71" s="456"/>
    </row>
    <row r="72" spans="1:7" x14ac:dyDescent="0.25">
      <c r="A72" s="373" t="s">
        <v>78</v>
      </c>
      <c r="B72" s="374" t="s">
        <v>16</v>
      </c>
      <c r="C72" s="374"/>
      <c r="D72" s="374"/>
      <c r="E72" s="373" t="s">
        <v>5</v>
      </c>
      <c r="F72" s="375" t="s">
        <v>315</v>
      </c>
      <c r="G72" s="373" t="s">
        <v>5</v>
      </c>
    </row>
    <row r="73" spans="1:7" x14ac:dyDescent="0.25">
      <c r="A73" s="373" t="s">
        <v>80</v>
      </c>
      <c r="B73" s="374" t="s">
        <v>14</v>
      </c>
      <c r="C73" s="374"/>
      <c r="D73" s="374"/>
      <c r="E73" s="373" t="s">
        <v>5</v>
      </c>
      <c r="F73" s="375" t="s">
        <v>316</v>
      </c>
      <c r="G73" s="373" t="s">
        <v>5</v>
      </c>
    </row>
    <row r="74" spans="1:7" x14ac:dyDescent="0.25">
      <c r="A74" s="373" t="s">
        <v>82</v>
      </c>
      <c r="B74" s="374" t="s">
        <v>76</v>
      </c>
      <c r="C74" s="374"/>
      <c r="D74" s="374">
        <v>2</v>
      </c>
      <c r="E74" s="373" t="s">
        <v>77</v>
      </c>
      <c r="F74" s="386">
        <f>F75/D74</f>
        <v>469578.63</v>
      </c>
      <c r="G74" s="373" t="s">
        <v>77</v>
      </c>
    </row>
    <row r="75" spans="1:7" x14ac:dyDescent="0.25">
      <c r="A75" s="373" t="s">
        <v>84</v>
      </c>
      <c r="B75" s="374" t="s">
        <v>79</v>
      </c>
      <c r="C75" s="374"/>
      <c r="D75" s="374"/>
      <c r="E75" s="373" t="s">
        <v>15</v>
      </c>
      <c r="F75" s="386">
        <v>939157.26</v>
      </c>
      <c r="G75" s="373" t="s">
        <v>15</v>
      </c>
    </row>
    <row r="76" spans="1:7" x14ac:dyDescent="0.25">
      <c r="A76" s="373" t="s">
        <v>86</v>
      </c>
      <c r="B76" s="374" t="s">
        <v>81</v>
      </c>
      <c r="C76" s="374"/>
      <c r="D76" s="374"/>
      <c r="E76" s="373" t="s">
        <v>15</v>
      </c>
      <c r="F76" s="387">
        <v>793911.26</v>
      </c>
      <c r="G76" s="373" t="s">
        <v>15</v>
      </c>
    </row>
    <row r="77" spans="1:7" x14ac:dyDescent="0.25">
      <c r="A77" s="373" t="s">
        <v>88</v>
      </c>
      <c r="B77" s="374" t="s">
        <v>83</v>
      </c>
      <c r="C77" s="374"/>
      <c r="D77" s="374"/>
      <c r="E77" s="373" t="s">
        <v>15</v>
      </c>
      <c r="F77" s="386">
        <f>F75-F76</f>
        <v>145246</v>
      </c>
      <c r="G77" s="373" t="s">
        <v>15</v>
      </c>
    </row>
    <row r="78" spans="1:7" ht="30" x14ac:dyDescent="0.25">
      <c r="A78" s="373" t="s">
        <v>90</v>
      </c>
      <c r="B78" s="374" t="s">
        <v>85</v>
      </c>
      <c r="C78" s="374"/>
      <c r="D78" s="374"/>
      <c r="E78" s="373" t="s">
        <v>15</v>
      </c>
      <c r="F78" s="386">
        <v>934011.96</v>
      </c>
      <c r="G78" s="373" t="s">
        <v>15</v>
      </c>
    </row>
    <row r="79" spans="1:7" ht="30" x14ac:dyDescent="0.25">
      <c r="A79" s="373" t="s">
        <v>93</v>
      </c>
      <c r="B79" s="374" t="s">
        <v>87</v>
      </c>
      <c r="C79" s="374"/>
      <c r="D79" s="374"/>
      <c r="E79" s="373" t="s">
        <v>15</v>
      </c>
      <c r="F79" s="386">
        <v>840021.58</v>
      </c>
      <c r="G79" s="373" t="s">
        <v>15</v>
      </c>
    </row>
    <row r="80" spans="1:7" ht="30" x14ac:dyDescent="0.25">
      <c r="A80" s="373" t="s">
        <v>94</v>
      </c>
      <c r="B80" s="374" t="s">
        <v>89</v>
      </c>
      <c r="C80" s="374"/>
      <c r="D80" s="374"/>
      <c r="E80" s="373" t="s">
        <v>15</v>
      </c>
      <c r="F80" s="386">
        <v>93990.38</v>
      </c>
      <c r="G80" s="373" t="s">
        <v>15</v>
      </c>
    </row>
    <row r="81" spans="1:7" ht="45" x14ac:dyDescent="0.25">
      <c r="A81" s="373" t="s">
        <v>95</v>
      </c>
      <c r="B81" s="374" t="s">
        <v>444</v>
      </c>
      <c r="C81" s="374"/>
      <c r="D81" s="374"/>
      <c r="E81" s="373" t="s">
        <v>15</v>
      </c>
      <c r="F81" s="386">
        <v>825</v>
      </c>
      <c r="G81" s="373" t="s">
        <v>15</v>
      </c>
    </row>
    <row r="82" spans="1:7" x14ac:dyDescent="0.25">
      <c r="A82" s="456" t="s">
        <v>72</v>
      </c>
      <c r="B82" s="456"/>
      <c r="C82" s="456"/>
      <c r="D82" s="456"/>
      <c r="E82" s="456"/>
      <c r="F82" s="456"/>
      <c r="G82" s="456"/>
    </row>
    <row r="83" spans="1:7" x14ac:dyDescent="0.25">
      <c r="A83" s="373" t="s">
        <v>78</v>
      </c>
      <c r="B83" s="374" t="s">
        <v>16</v>
      </c>
      <c r="C83" s="374"/>
      <c r="D83" s="374"/>
      <c r="E83" s="373" t="s">
        <v>5</v>
      </c>
      <c r="F83" s="388" t="s">
        <v>332</v>
      </c>
      <c r="G83" s="373" t="s">
        <v>5</v>
      </c>
    </row>
    <row r="84" spans="1:7" x14ac:dyDescent="0.25">
      <c r="A84" s="373" t="s">
        <v>80</v>
      </c>
      <c r="B84" s="374" t="s">
        <v>14</v>
      </c>
      <c r="C84" s="374"/>
      <c r="D84" s="374"/>
      <c r="E84" s="373" t="s">
        <v>5</v>
      </c>
      <c r="F84" s="388" t="s">
        <v>331</v>
      </c>
      <c r="G84" s="373" t="s">
        <v>5</v>
      </c>
    </row>
    <row r="85" spans="1:7" x14ac:dyDescent="0.25">
      <c r="A85" s="373" t="s">
        <v>82</v>
      </c>
      <c r="B85" s="374" t="s">
        <v>76</v>
      </c>
      <c r="C85" s="374"/>
      <c r="D85" s="374">
        <v>47.95</v>
      </c>
      <c r="E85" s="373" t="s">
        <v>77</v>
      </c>
      <c r="F85" s="390">
        <f>F86/D85</f>
        <v>17220.127841501562</v>
      </c>
      <c r="G85" s="373" t="s">
        <v>77</v>
      </c>
    </row>
    <row r="86" spans="1:7" x14ac:dyDescent="0.25">
      <c r="A86" s="373" t="s">
        <v>84</v>
      </c>
      <c r="B86" s="374" t="s">
        <v>79</v>
      </c>
      <c r="C86" s="374"/>
      <c r="D86" s="374"/>
      <c r="E86" s="373" t="s">
        <v>15</v>
      </c>
      <c r="F86" s="390">
        <f>451582.85+374122.28</f>
        <v>825705.13</v>
      </c>
      <c r="G86" s="373" t="s">
        <v>15</v>
      </c>
    </row>
    <row r="87" spans="1:7" ht="27.75" customHeight="1" x14ac:dyDescent="0.25">
      <c r="A87" s="373" t="s">
        <v>86</v>
      </c>
      <c r="B87" s="374" t="s">
        <v>81</v>
      </c>
      <c r="C87" s="374"/>
      <c r="D87" s="374"/>
      <c r="E87" s="373" t="s">
        <v>15</v>
      </c>
      <c r="F87" s="391">
        <v>801850.37</v>
      </c>
      <c r="G87" s="373" t="s">
        <v>15</v>
      </c>
    </row>
    <row r="88" spans="1:7" x14ac:dyDescent="0.25">
      <c r="A88" s="373" t="s">
        <v>88</v>
      </c>
      <c r="B88" s="374" t="s">
        <v>83</v>
      </c>
      <c r="C88" s="374"/>
      <c r="D88" s="374"/>
      <c r="E88" s="373" t="s">
        <v>15</v>
      </c>
      <c r="F88" s="390">
        <f>F86-F87</f>
        <v>23854.760000000009</v>
      </c>
      <c r="G88" s="373" t="s">
        <v>15</v>
      </c>
    </row>
    <row r="89" spans="1:7" ht="30" x14ac:dyDescent="0.25">
      <c r="A89" s="373" t="s">
        <v>90</v>
      </c>
      <c r="B89" s="374" t="s">
        <v>85</v>
      </c>
      <c r="C89" s="374"/>
      <c r="D89" s="374"/>
      <c r="E89" s="373" t="s">
        <v>15</v>
      </c>
      <c r="F89" s="390">
        <v>823258.85</v>
      </c>
      <c r="G89" s="373" t="s">
        <v>15</v>
      </c>
    </row>
    <row r="90" spans="1:7" ht="30" x14ac:dyDescent="0.25">
      <c r="A90" s="373" t="s">
        <v>93</v>
      </c>
      <c r="B90" s="374" t="s">
        <v>87</v>
      </c>
      <c r="C90" s="374"/>
      <c r="D90" s="374"/>
      <c r="E90" s="373" t="s">
        <v>15</v>
      </c>
      <c r="F90" s="390">
        <v>768977.41</v>
      </c>
      <c r="G90" s="373" t="s">
        <v>15</v>
      </c>
    </row>
    <row r="91" spans="1:7" ht="30" x14ac:dyDescent="0.25">
      <c r="A91" s="373" t="s">
        <v>94</v>
      </c>
      <c r="B91" s="374" t="s">
        <v>89</v>
      </c>
      <c r="C91" s="374"/>
      <c r="D91" s="374"/>
      <c r="E91" s="373" t="s">
        <v>15</v>
      </c>
      <c r="F91" s="390">
        <v>54281.440000000002</v>
      </c>
      <c r="G91" s="373" t="s">
        <v>15</v>
      </c>
    </row>
    <row r="92" spans="1:7" ht="26.25" customHeight="1" x14ac:dyDescent="0.25">
      <c r="A92" s="373" t="s">
        <v>95</v>
      </c>
      <c r="B92" s="374" t="s">
        <v>444</v>
      </c>
      <c r="C92" s="374"/>
      <c r="D92" s="374"/>
      <c r="E92" s="373" t="s">
        <v>15</v>
      </c>
      <c r="F92" s="390">
        <v>0</v>
      </c>
      <c r="G92" s="373" t="s">
        <v>15</v>
      </c>
    </row>
    <row r="93" spans="1:7" x14ac:dyDescent="0.25">
      <c r="A93" s="453" t="s">
        <v>72</v>
      </c>
      <c r="B93" s="453"/>
      <c r="C93" s="453"/>
      <c r="D93" s="453"/>
      <c r="E93" s="453"/>
      <c r="F93" s="453"/>
      <c r="G93" s="453"/>
    </row>
    <row r="94" spans="1:7" x14ac:dyDescent="0.25">
      <c r="A94" s="303" t="s">
        <v>78</v>
      </c>
      <c r="B94" s="310" t="s">
        <v>16</v>
      </c>
      <c r="C94" s="310"/>
      <c r="D94" s="310"/>
      <c r="E94" s="303" t="s">
        <v>5</v>
      </c>
      <c r="F94" s="319" t="s">
        <v>342</v>
      </c>
      <c r="G94" s="303" t="s">
        <v>5</v>
      </c>
    </row>
    <row r="95" spans="1:7" x14ac:dyDescent="0.25">
      <c r="A95" s="303" t="s">
        <v>80</v>
      </c>
      <c r="B95" s="310" t="s">
        <v>14</v>
      </c>
      <c r="C95" s="310"/>
      <c r="D95" s="310"/>
      <c r="E95" s="303" t="s">
        <v>5</v>
      </c>
      <c r="F95" s="319" t="s">
        <v>331</v>
      </c>
      <c r="G95" s="303" t="s">
        <v>5</v>
      </c>
    </row>
    <row r="96" spans="1:7" x14ac:dyDescent="0.25">
      <c r="A96" s="303" t="s">
        <v>82</v>
      </c>
      <c r="B96" s="310" t="s">
        <v>76</v>
      </c>
      <c r="C96" s="310"/>
      <c r="D96" s="310">
        <v>52.02</v>
      </c>
      <c r="E96" s="303" t="s">
        <v>77</v>
      </c>
      <c r="F96" s="322">
        <f>F97/D96</f>
        <v>15843.012110726642</v>
      </c>
      <c r="G96" s="303" t="s">
        <v>77</v>
      </c>
    </row>
    <row r="97" spans="1:7" x14ac:dyDescent="0.25">
      <c r="A97" s="303" t="s">
        <v>84</v>
      </c>
      <c r="B97" s="310" t="s">
        <v>79</v>
      </c>
      <c r="C97" s="310"/>
      <c r="D97" s="310"/>
      <c r="E97" s="303" t="s">
        <v>15</v>
      </c>
      <c r="F97" s="322">
        <v>824153.49</v>
      </c>
      <c r="G97" s="303" t="s">
        <v>15</v>
      </c>
    </row>
    <row r="98" spans="1:7" x14ac:dyDescent="0.25">
      <c r="A98" s="303" t="s">
        <v>86</v>
      </c>
      <c r="B98" s="310" t="s">
        <v>81</v>
      </c>
      <c r="C98" s="310"/>
      <c r="D98" s="310"/>
      <c r="E98" s="303" t="s">
        <v>15</v>
      </c>
      <c r="F98" s="322">
        <v>793911.26</v>
      </c>
      <c r="G98" s="303" t="s">
        <v>15</v>
      </c>
    </row>
    <row r="99" spans="1:7" x14ac:dyDescent="0.25">
      <c r="A99" s="303" t="s">
        <v>88</v>
      </c>
      <c r="B99" s="310" t="s">
        <v>83</v>
      </c>
      <c r="C99" s="310"/>
      <c r="D99" s="310"/>
      <c r="E99" s="303" t="s">
        <v>15</v>
      </c>
      <c r="F99" s="322">
        <f>F97-F98</f>
        <v>30242.229999999981</v>
      </c>
      <c r="G99" s="303" t="s">
        <v>15</v>
      </c>
    </row>
    <row r="100" spans="1:7" ht="30" x14ac:dyDescent="0.25">
      <c r="A100" s="303" t="s">
        <v>90</v>
      </c>
      <c r="B100" s="310" t="s">
        <v>85</v>
      </c>
      <c r="C100" s="310"/>
      <c r="D100" s="310"/>
      <c r="E100" s="303" t="s">
        <v>15</v>
      </c>
      <c r="F100" s="322">
        <v>840285.79</v>
      </c>
      <c r="G100" s="303" t="s">
        <v>15</v>
      </c>
    </row>
    <row r="101" spans="1:7" ht="30" x14ac:dyDescent="0.25">
      <c r="A101" s="303" t="s">
        <v>93</v>
      </c>
      <c r="B101" s="310" t="s">
        <v>87</v>
      </c>
      <c r="C101" s="310"/>
      <c r="D101" s="310"/>
      <c r="E101" s="303" t="s">
        <v>15</v>
      </c>
      <c r="F101" s="322">
        <v>784512.3</v>
      </c>
      <c r="G101" s="303" t="s">
        <v>15</v>
      </c>
    </row>
    <row r="102" spans="1:7" ht="30" x14ac:dyDescent="0.25">
      <c r="A102" s="303" t="s">
        <v>94</v>
      </c>
      <c r="B102" s="310" t="s">
        <v>89</v>
      </c>
      <c r="C102" s="310"/>
      <c r="D102" s="310"/>
      <c r="E102" s="303" t="s">
        <v>15</v>
      </c>
      <c r="F102" s="322">
        <v>55773.49</v>
      </c>
      <c r="G102" s="303" t="s">
        <v>15</v>
      </c>
    </row>
    <row r="103" spans="1:7" ht="45" x14ac:dyDescent="0.25">
      <c r="A103" s="303" t="s">
        <v>95</v>
      </c>
      <c r="B103" s="310" t="s">
        <v>444</v>
      </c>
      <c r="C103" s="310"/>
      <c r="D103" s="310"/>
      <c r="E103" s="303" t="s">
        <v>15</v>
      </c>
      <c r="F103" s="322">
        <v>0</v>
      </c>
      <c r="G103" s="303" t="s">
        <v>15</v>
      </c>
    </row>
    <row r="104" spans="1:7" x14ac:dyDescent="0.25">
      <c r="A104" s="453" t="s">
        <v>72</v>
      </c>
      <c r="B104" s="453"/>
      <c r="C104" s="453"/>
      <c r="D104" s="453"/>
      <c r="E104" s="453"/>
      <c r="F104" s="453"/>
      <c r="G104" s="453"/>
    </row>
    <row r="105" spans="1:7" x14ac:dyDescent="0.25">
      <c r="A105" s="303" t="s">
        <v>78</v>
      </c>
      <c r="B105" s="310" t="s">
        <v>16</v>
      </c>
      <c r="C105" s="310"/>
      <c r="D105" s="310"/>
      <c r="E105" s="303" t="s">
        <v>5</v>
      </c>
      <c r="F105" s="302" t="s">
        <v>343</v>
      </c>
      <c r="G105" s="303" t="s">
        <v>5</v>
      </c>
    </row>
    <row r="106" spans="1:7" x14ac:dyDescent="0.25">
      <c r="A106" s="303" t="s">
        <v>80</v>
      </c>
      <c r="B106" s="310" t="s">
        <v>14</v>
      </c>
      <c r="C106" s="310"/>
      <c r="D106" s="310"/>
      <c r="E106" s="303" t="s">
        <v>5</v>
      </c>
      <c r="F106" s="302" t="s">
        <v>341</v>
      </c>
      <c r="G106" s="303" t="s">
        <v>5</v>
      </c>
    </row>
    <row r="107" spans="1:7" x14ac:dyDescent="0.25">
      <c r="A107" s="303" t="s">
        <v>82</v>
      </c>
      <c r="B107" s="310" t="s">
        <v>76</v>
      </c>
      <c r="C107" s="310"/>
      <c r="D107" s="310">
        <v>1852.28</v>
      </c>
      <c r="E107" s="303" t="s">
        <v>77</v>
      </c>
      <c r="F107" s="322">
        <f>F108/D107</f>
        <v>1477.2856371606886</v>
      </c>
      <c r="G107" s="303" t="s">
        <v>77</v>
      </c>
    </row>
    <row r="108" spans="1:7" x14ac:dyDescent="0.25">
      <c r="A108" s="303" t="s">
        <v>84</v>
      </c>
      <c r="B108" s="310" t="s">
        <v>79</v>
      </c>
      <c r="C108" s="310"/>
      <c r="D108" s="310"/>
      <c r="E108" s="303" t="s">
        <v>15</v>
      </c>
      <c r="F108" s="322">
        <v>2736346.64</v>
      </c>
      <c r="G108" s="303" t="s">
        <v>15</v>
      </c>
    </row>
    <row r="109" spans="1:7" x14ac:dyDescent="0.25">
      <c r="A109" s="303" t="s">
        <v>86</v>
      </c>
      <c r="B109" s="310" t="s">
        <v>81</v>
      </c>
      <c r="C109" s="310"/>
      <c r="D109" s="310"/>
      <c r="E109" s="303" t="s">
        <v>15</v>
      </c>
      <c r="F109" s="322">
        <v>2810445.85</v>
      </c>
      <c r="G109" s="303" t="s">
        <v>15</v>
      </c>
    </row>
    <row r="110" spans="1:7" x14ac:dyDescent="0.25">
      <c r="A110" s="303" t="s">
        <v>88</v>
      </c>
      <c r="B110" s="310" t="s">
        <v>83</v>
      </c>
      <c r="C110" s="310"/>
      <c r="D110" s="310"/>
      <c r="E110" s="303" t="s">
        <v>15</v>
      </c>
      <c r="F110" s="322">
        <f>F108-F109</f>
        <v>-74099.209999999963</v>
      </c>
      <c r="G110" s="303" t="s">
        <v>15</v>
      </c>
    </row>
    <row r="111" spans="1:7" ht="30" x14ac:dyDescent="0.25">
      <c r="A111" s="303" t="s">
        <v>90</v>
      </c>
      <c r="B111" s="310" t="s">
        <v>85</v>
      </c>
      <c r="C111" s="310"/>
      <c r="D111" s="310"/>
      <c r="E111" s="303" t="s">
        <v>15</v>
      </c>
      <c r="F111" s="322">
        <v>2737179.46</v>
      </c>
      <c r="G111" s="303" t="s">
        <v>15</v>
      </c>
    </row>
    <row r="112" spans="1:7" ht="30" x14ac:dyDescent="0.25">
      <c r="A112" s="303" t="s">
        <v>93</v>
      </c>
      <c r="B112" s="310" t="s">
        <v>87</v>
      </c>
      <c r="C112" s="310"/>
      <c r="D112" s="310"/>
      <c r="E112" s="303" t="s">
        <v>15</v>
      </c>
      <c r="F112" s="322">
        <v>2345562.33</v>
      </c>
      <c r="G112" s="303" t="s">
        <v>15</v>
      </c>
    </row>
    <row r="113" spans="1:7" ht="30" x14ac:dyDescent="0.25">
      <c r="A113" s="303" t="s">
        <v>94</v>
      </c>
      <c r="B113" s="310" t="s">
        <v>89</v>
      </c>
      <c r="C113" s="310"/>
      <c r="D113" s="310"/>
      <c r="E113" s="303" t="s">
        <v>15</v>
      </c>
      <c r="F113" s="322">
        <v>391617.13</v>
      </c>
      <c r="G113" s="303" t="s">
        <v>15</v>
      </c>
    </row>
    <row r="114" spans="1:7" ht="45" x14ac:dyDescent="0.25">
      <c r="A114" s="303" t="s">
        <v>95</v>
      </c>
      <c r="B114" s="310" t="s">
        <v>444</v>
      </c>
      <c r="C114" s="310"/>
      <c r="D114" s="310"/>
      <c r="E114" s="303" t="s">
        <v>15</v>
      </c>
      <c r="F114" s="322">
        <v>111569.35</v>
      </c>
      <c r="G114" s="303" t="s">
        <v>15</v>
      </c>
    </row>
    <row r="115" spans="1:7" x14ac:dyDescent="0.25">
      <c r="A115" s="444" t="s">
        <v>92</v>
      </c>
      <c r="B115" s="444"/>
      <c r="C115" s="444"/>
      <c r="D115" s="444"/>
      <c r="E115" s="444"/>
      <c r="F115" s="444"/>
      <c r="G115" s="444"/>
    </row>
    <row r="116" spans="1:7" x14ac:dyDescent="0.25">
      <c r="A116" s="4" t="s">
        <v>96</v>
      </c>
      <c r="B116" s="5" t="s">
        <v>55</v>
      </c>
      <c r="C116" s="5"/>
      <c r="D116" s="5"/>
      <c r="E116" s="4" t="s">
        <v>58</v>
      </c>
      <c r="F116" s="295">
        <v>0</v>
      </c>
      <c r="G116" s="4" t="s">
        <v>58</v>
      </c>
    </row>
    <row r="117" spans="1:7" x14ac:dyDescent="0.25">
      <c r="A117" s="4" t="s">
        <v>98</v>
      </c>
      <c r="B117" s="5" t="s">
        <v>57</v>
      </c>
      <c r="C117" s="5"/>
      <c r="D117" s="5"/>
      <c r="E117" s="4" t="s">
        <v>58</v>
      </c>
      <c r="F117" s="295">
        <v>0</v>
      </c>
      <c r="G117" s="4" t="s">
        <v>58</v>
      </c>
    </row>
    <row r="118" spans="1:7" ht="30" x14ac:dyDescent="0.25">
      <c r="A118" s="4" t="s">
        <v>100</v>
      </c>
      <c r="B118" s="5" t="s">
        <v>60</v>
      </c>
      <c r="C118" s="5"/>
      <c r="D118" s="5"/>
      <c r="E118" s="4" t="s">
        <v>58</v>
      </c>
      <c r="F118" s="295">
        <v>0</v>
      </c>
      <c r="G118" s="4" t="s">
        <v>58</v>
      </c>
    </row>
    <row r="119" spans="1:7" x14ac:dyDescent="0.25">
      <c r="A119" s="4" t="s">
        <v>102</v>
      </c>
      <c r="B119" s="5" t="s">
        <v>62</v>
      </c>
      <c r="C119" s="5"/>
      <c r="D119" s="5"/>
      <c r="E119" s="4" t="s">
        <v>15</v>
      </c>
      <c r="F119" s="295">
        <v>0</v>
      </c>
      <c r="G119" s="4" t="s">
        <v>15</v>
      </c>
    </row>
    <row r="120" spans="1:7" x14ac:dyDescent="0.25">
      <c r="A120" s="444" t="s">
        <v>97</v>
      </c>
      <c r="B120" s="444"/>
      <c r="C120" s="444"/>
      <c r="D120" s="444"/>
      <c r="E120" s="444"/>
      <c r="F120" s="444"/>
      <c r="G120" s="444"/>
    </row>
    <row r="121" spans="1:7" ht="30" x14ac:dyDescent="0.25">
      <c r="A121" s="4" t="s">
        <v>446</v>
      </c>
      <c r="B121" s="5" t="s">
        <v>99</v>
      </c>
      <c r="C121" s="5"/>
      <c r="D121" s="5"/>
      <c r="E121" s="4" t="s">
        <v>58</v>
      </c>
      <c r="F121" s="291"/>
      <c r="G121" s="4" t="s">
        <v>58</v>
      </c>
    </row>
    <row r="122" spans="1:7" x14ac:dyDescent="0.25">
      <c r="A122" s="4" t="s">
        <v>447</v>
      </c>
      <c r="B122" s="5" t="s">
        <v>101</v>
      </c>
      <c r="C122" s="5"/>
      <c r="D122" s="5"/>
      <c r="E122" s="4" t="s">
        <v>58</v>
      </c>
      <c r="F122" s="291"/>
      <c r="G122" s="4" t="s">
        <v>58</v>
      </c>
    </row>
    <row r="123" spans="1:7" ht="30" x14ac:dyDescent="0.25">
      <c r="A123" s="4" t="s">
        <v>448</v>
      </c>
      <c r="B123" s="5" t="s">
        <v>103</v>
      </c>
      <c r="C123" s="5"/>
      <c r="D123" s="5"/>
      <c r="E123" s="4" t="s">
        <v>15</v>
      </c>
      <c r="F123" s="295"/>
      <c r="G123" s="4" t="s">
        <v>15</v>
      </c>
    </row>
    <row r="124" spans="1:7" x14ac:dyDescent="0.25">
      <c r="B124" s="1"/>
      <c r="C124" s="1"/>
      <c r="D124" s="1"/>
      <c r="F124" s="1"/>
    </row>
    <row r="125" spans="1:7" x14ac:dyDescent="0.25">
      <c r="B125" s="1"/>
      <c r="C125" s="1"/>
      <c r="D125" s="1"/>
      <c r="F125" s="1"/>
    </row>
    <row r="126" spans="1:7" x14ac:dyDescent="0.25">
      <c r="B126" s="1"/>
      <c r="C126" s="1"/>
      <c r="D126" s="1"/>
      <c r="F126" s="1"/>
    </row>
    <row r="127" spans="1:7" x14ac:dyDescent="0.25">
      <c r="B127" s="1"/>
      <c r="C127" s="1"/>
      <c r="D127" s="1"/>
      <c r="F127" s="1"/>
    </row>
    <row r="128" spans="1:7" x14ac:dyDescent="0.25">
      <c r="B128" s="1"/>
      <c r="C128" s="1"/>
      <c r="D128" s="1"/>
      <c r="F128" s="1"/>
    </row>
    <row r="129" spans="2:6" x14ac:dyDescent="0.25">
      <c r="B129" s="1"/>
      <c r="C129" s="1"/>
      <c r="D129" s="1"/>
      <c r="F129" s="1"/>
    </row>
    <row r="130" spans="2:6" x14ac:dyDescent="0.25">
      <c r="B130" s="1"/>
      <c r="C130" s="1"/>
      <c r="D130" s="1"/>
      <c r="F130" s="1"/>
    </row>
    <row r="131" spans="2:6" x14ac:dyDescent="0.25">
      <c r="B131" s="1"/>
      <c r="C131" s="1"/>
      <c r="D131" s="1"/>
      <c r="F131" s="1"/>
    </row>
    <row r="132" spans="2:6" x14ac:dyDescent="0.25">
      <c r="B132" s="1"/>
      <c r="C132" s="1"/>
      <c r="D132" s="1"/>
      <c r="F132" s="1"/>
    </row>
    <row r="133" spans="2:6" x14ac:dyDescent="0.25">
      <c r="B133" s="1"/>
      <c r="C133" s="1"/>
      <c r="D133" s="1"/>
      <c r="F133" s="1"/>
    </row>
    <row r="134" spans="2:6" x14ac:dyDescent="0.25">
      <c r="B134" s="1"/>
      <c r="C134" s="1"/>
      <c r="D134" s="1"/>
      <c r="F134" s="1"/>
    </row>
    <row r="135" spans="2:6" x14ac:dyDescent="0.25">
      <c r="B135" s="1"/>
      <c r="C135" s="1"/>
      <c r="D135" s="1"/>
      <c r="F135" s="1"/>
    </row>
    <row r="136" spans="2:6" x14ac:dyDescent="0.25">
      <c r="B136" s="1"/>
      <c r="C136" s="1"/>
      <c r="D136" s="1"/>
      <c r="F136" s="1"/>
    </row>
    <row r="137" spans="2:6" x14ac:dyDescent="0.25">
      <c r="B137" s="1"/>
      <c r="C137" s="1"/>
      <c r="D137" s="1"/>
      <c r="F137" s="1"/>
    </row>
    <row r="138" spans="2:6" x14ac:dyDescent="0.25">
      <c r="B138" s="1"/>
      <c r="C138" s="1"/>
      <c r="D138" s="1"/>
      <c r="F138" s="1"/>
    </row>
    <row r="139" spans="2:6" x14ac:dyDescent="0.25">
      <c r="B139" s="1"/>
      <c r="C139" s="1"/>
      <c r="D139" s="1"/>
      <c r="F139" s="1"/>
    </row>
    <row r="140" spans="2:6" x14ac:dyDescent="0.25">
      <c r="B140" s="1"/>
      <c r="C140" s="1"/>
      <c r="D140" s="1"/>
      <c r="F140" s="1"/>
    </row>
    <row r="141" spans="2:6" x14ac:dyDescent="0.25">
      <c r="B141" s="1"/>
      <c r="C141" s="1"/>
      <c r="D141" s="1"/>
      <c r="F141" s="1"/>
    </row>
    <row r="142" spans="2:6" x14ac:dyDescent="0.25">
      <c r="B142" s="1"/>
      <c r="C142" s="1"/>
      <c r="D142" s="1"/>
      <c r="F142" s="1"/>
    </row>
    <row r="143" spans="2:6" x14ac:dyDescent="0.25">
      <c r="B143" s="1"/>
      <c r="C143" s="1"/>
      <c r="D143" s="1"/>
      <c r="F143" s="1"/>
    </row>
    <row r="144" spans="2:6" x14ac:dyDescent="0.25">
      <c r="B144" s="1"/>
      <c r="C144" s="1"/>
      <c r="D144" s="1"/>
      <c r="F144" s="1"/>
    </row>
    <row r="145" spans="2:6" x14ac:dyDescent="0.25">
      <c r="B145" s="1"/>
      <c r="C145" s="1"/>
      <c r="D145" s="1"/>
      <c r="F145" s="1"/>
    </row>
    <row r="146" spans="2:6" x14ac:dyDescent="0.25">
      <c r="B146" s="1"/>
      <c r="C146" s="1"/>
      <c r="D146" s="1"/>
      <c r="F146" s="1"/>
    </row>
    <row r="147" spans="2:6" x14ac:dyDescent="0.25">
      <c r="B147" s="1"/>
      <c r="C147" s="1"/>
      <c r="D147" s="1"/>
      <c r="F147" s="1"/>
    </row>
    <row r="148" spans="2:6" x14ac:dyDescent="0.25">
      <c r="B148" s="1"/>
      <c r="C148" s="1"/>
      <c r="D148" s="1"/>
      <c r="F148" s="1"/>
    </row>
    <row r="149" spans="2:6" x14ac:dyDescent="0.25">
      <c r="B149" s="1"/>
      <c r="C149" s="1"/>
      <c r="D149" s="1"/>
      <c r="F149" s="1"/>
    </row>
    <row r="150" spans="2:6" x14ac:dyDescent="0.25">
      <c r="B150" s="1"/>
      <c r="C150" s="1"/>
      <c r="D150" s="1"/>
      <c r="F150" s="1"/>
    </row>
    <row r="151" spans="2:6" x14ac:dyDescent="0.25">
      <c r="B151" s="1"/>
      <c r="C151" s="1"/>
      <c r="D151" s="1"/>
      <c r="F151" s="1"/>
    </row>
    <row r="152" spans="2:6" x14ac:dyDescent="0.25">
      <c r="B152" s="1"/>
      <c r="C152" s="1"/>
      <c r="D152" s="1"/>
      <c r="F152" s="1"/>
    </row>
    <row r="153" spans="2:6" x14ac:dyDescent="0.25">
      <c r="B153" s="1"/>
      <c r="C153" s="1"/>
      <c r="D153" s="1"/>
      <c r="F153" s="1"/>
    </row>
    <row r="154" spans="2:6" x14ac:dyDescent="0.25">
      <c r="B154" s="1"/>
      <c r="C154" s="1"/>
      <c r="D154" s="1"/>
      <c r="F154" s="1"/>
    </row>
    <row r="155" spans="2:6" x14ac:dyDescent="0.25">
      <c r="B155" s="1"/>
      <c r="C155" s="1"/>
      <c r="D155" s="1"/>
      <c r="F155" s="1"/>
    </row>
    <row r="156" spans="2:6" x14ac:dyDescent="0.25">
      <c r="B156" s="1"/>
      <c r="C156" s="1"/>
      <c r="D156" s="1"/>
      <c r="F156" s="1"/>
    </row>
    <row r="157" spans="2:6" x14ac:dyDescent="0.25">
      <c r="B157" s="1"/>
      <c r="C157" s="1"/>
      <c r="D157" s="1"/>
      <c r="F157" s="1"/>
    </row>
    <row r="158" spans="2:6" x14ac:dyDescent="0.25">
      <c r="B158" s="1"/>
      <c r="C158" s="1"/>
      <c r="D158" s="1"/>
      <c r="F158" s="1"/>
    </row>
    <row r="159" spans="2:6" x14ac:dyDescent="0.25">
      <c r="B159" s="1"/>
      <c r="C159" s="1"/>
      <c r="D159" s="1"/>
      <c r="F159" s="1"/>
    </row>
    <row r="160" spans="2:6" x14ac:dyDescent="0.25">
      <c r="B160" s="1"/>
      <c r="C160" s="1"/>
      <c r="D160" s="1"/>
      <c r="F160" s="1"/>
    </row>
    <row r="161" spans="2:6" x14ac:dyDescent="0.25">
      <c r="B161" s="1"/>
      <c r="C161" s="1"/>
      <c r="D161" s="1"/>
      <c r="F161" s="1"/>
    </row>
    <row r="162" spans="2:6" x14ac:dyDescent="0.25">
      <c r="B162" s="1"/>
      <c r="C162" s="1"/>
      <c r="D162" s="1"/>
      <c r="F162" s="1"/>
    </row>
  </sheetData>
  <mergeCells count="14">
    <mergeCell ref="C47:C49"/>
    <mergeCell ref="A1:G1"/>
    <mergeCell ref="A6:G6"/>
    <mergeCell ref="A24:G24"/>
    <mergeCell ref="C32:C35"/>
    <mergeCell ref="C39:C42"/>
    <mergeCell ref="A104:G104"/>
    <mergeCell ref="A115:G115"/>
    <mergeCell ref="A120:G120"/>
    <mergeCell ref="A59:G59"/>
    <mergeCell ref="A64:G64"/>
    <mergeCell ref="A71:G71"/>
    <mergeCell ref="A82:G82"/>
    <mergeCell ref="A93:G93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" manualBreakCount="1">
    <brk id="5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2"/>
  <sheetViews>
    <sheetView view="pageBreakPreview" zoomScaleNormal="100" zoomScaleSheetLayoutView="100" workbookViewId="0">
      <selection activeCell="H1" sqref="H1:M1048576"/>
    </sheetView>
  </sheetViews>
  <sheetFormatPr defaultRowHeight="15" x14ac:dyDescent="0.25"/>
  <cols>
    <col min="1" max="1" width="3.85546875" customWidth="1"/>
    <col min="2" max="3" width="46.140625" customWidth="1"/>
    <col min="4" max="4" width="21.28515625" customWidth="1"/>
    <col min="5" max="5" width="10.140625" customWidth="1"/>
    <col min="6" max="6" width="15.85546875" customWidth="1"/>
    <col min="7" max="7" width="10.140625" hidden="1" customWidth="1"/>
    <col min="8" max="8" width="14.7109375" hidden="1" customWidth="1"/>
    <col min="9" max="13" width="0" hidden="1" customWidth="1"/>
  </cols>
  <sheetData>
    <row r="1" spans="1:7" ht="38.25" customHeight="1" x14ac:dyDescent="0.25">
      <c r="A1" s="470" t="s">
        <v>479</v>
      </c>
      <c r="B1" s="470"/>
      <c r="C1" s="470"/>
      <c r="D1" s="470"/>
      <c r="E1" s="470"/>
      <c r="F1" s="470"/>
      <c r="G1" s="470"/>
    </row>
    <row r="2" spans="1:7" ht="45" x14ac:dyDescent="0.25">
      <c r="A2" s="301" t="s">
        <v>0</v>
      </c>
      <c r="B2" s="302" t="s">
        <v>1</v>
      </c>
      <c r="C2" s="302" t="s">
        <v>105</v>
      </c>
      <c r="D2" s="304" t="s">
        <v>433</v>
      </c>
      <c r="E2" s="302" t="s">
        <v>2</v>
      </c>
      <c r="F2" s="302" t="s">
        <v>3</v>
      </c>
      <c r="G2" s="302" t="s">
        <v>2</v>
      </c>
    </row>
    <row r="3" spans="1:7" x14ac:dyDescent="0.25">
      <c r="A3" s="303" t="s">
        <v>4</v>
      </c>
      <c r="B3" s="304" t="s">
        <v>6</v>
      </c>
      <c r="C3" s="304" t="s">
        <v>468</v>
      </c>
      <c r="D3" s="304"/>
      <c r="E3" s="303" t="s">
        <v>5</v>
      </c>
      <c r="F3" s="301"/>
      <c r="G3" s="306" t="s">
        <v>5</v>
      </c>
    </row>
    <row r="4" spans="1:7" x14ac:dyDescent="0.25">
      <c r="A4" s="307" t="s">
        <v>7</v>
      </c>
      <c r="B4" s="304" t="s">
        <v>21</v>
      </c>
      <c r="C4" s="304" t="s">
        <v>469</v>
      </c>
      <c r="D4" s="304"/>
      <c r="E4" s="303" t="s">
        <v>5</v>
      </c>
      <c r="F4" s="304"/>
      <c r="G4" s="303" t="s">
        <v>5</v>
      </c>
    </row>
    <row r="5" spans="1:7" x14ac:dyDescent="0.25">
      <c r="A5" s="307" t="s">
        <v>8</v>
      </c>
      <c r="B5" s="304" t="s">
        <v>22</v>
      </c>
      <c r="C5" s="304" t="s">
        <v>470</v>
      </c>
      <c r="D5" s="304"/>
      <c r="E5" s="303" t="s">
        <v>5</v>
      </c>
      <c r="F5" s="304"/>
      <c r="G5" s="303" t="s">
        <v>5</v>
      </c>
    </row>
    <row r="6" spans="1:7" ht="30.75" customHeight="1" x14ac:dyDescent="0.25">
      <c r="A6" s="462" t="s">
        <v>360</v>
      </c>
      <c r="B6" s="462"/>
      <c r="C6" s="462"/>
      <c r="D6" s="462"/>
      <c r="E6" s="462"/>
      <c r="F6" s="462"/>
      <c r="G6" s="462"/>
    </row>
    <row r="7" spans="1:7" s="273" customFormat="1" ht="30.75" customHeight="1" x14ac:dyDescent="0.25">
      <c r="A7" s="308" t="s">
        <v>9</v>
      </c>
      <c r="B7" s="308" t="s">
        <v>370</v>
      </c>
      <c r="C7" s="308"/>
      <c r="D7" s="308"/>
      <c r="E7" s="308"/>
      <c r="F7" s="321">
        <v>0</v>
      </c>
      <c r="G7" s="308"/>
    </row>
    <row r="8" spans="1:7" s="273" customFormat="1" ht="30" x14ac:dyDescent="0.25">
      <c r="A8" s="325" t="s">
        <v>375</v>
      </c>
      <c r="B8" s="308" t="s">
        <v>43</v>
      </c>
      <c r="C8" s="308"/>
      <c r="D8" s="308"/>
      <c r="E8" s="325" t="s">
        <v>15</v>
      </c>
      <c r="F8" s="321">
        <v>0</v>
      </c>
      <c r="G8" s="325" t="s">
        <v>15</v>
      </c>
    </row>
    <row r="9" spans="1:7" ht="14.25" customHeight="1" x14ac:dyDescent="0.25">
      <c r="A9" s="303" t="s">
        <v>11</v>
      </c>
      <c r="B9" s="310" t="s">
        <v>374</v>
      </c>
      <c r="C9" s="310"/>
      <c r="D9" s="310"/>
      <c r="E9" s="303" t="s">
        <v>15</v>
      </c>
      <c r="F9" s="322">
        <v>1111333.0900000001</v>
      </c>
      <c r="G9" s="303" t="s">
        <v>15</v>
      </c>
    </row>
    <row r="10" spans="1:7" ht="33.75" customHeight="1" x14ac:dyDescent="0.25">
      <c r="A10" s="303" t="s">
        <v>12</v>
      </c>
      <c r="B10" s="310" t="s">
        <v>25</v>
      </c>
      <c r="C10" s="310"/>
      <c r="D10" s="310">
        <v>40.14</v>
      </c>
      <c r="E10" s="303" t="s">
        <v>15</v>
      </c>
      <c r="F10" s="323">
        <f>D10*I32*I33</f>
        <v>7985108.0016000001</v>
      </c>
      <c r="G10" s="303" t="s">
        <v>15</v>
      </c>
    </row>
    <row r="11" spans="1:7" x14ac:dyDescent="0.25">
      <c r="A11" s="303" t="s">
        <v>13</v>
      </c>
      <c r="B11" s="310" t="s">
        <v>26</v>
      </c>
      <c r="C11" s="310"/>
      <c r="D11" s="310"/>
      <c r="E11" s="303" t="s">
        <v>15</v>
      </c>
      <c r="F11" s="322"/>
      <c r="G11" s="303" t="s">
        <v>15</v>
      </c>
    </row>
    <row r="12" spans="1:7" x14ac:dyDescent="0.25">
      <c r="A12" s="303" t="s">
        <v>17</v>
      </c>
      <c r="B12" s="310" t="s">
        <v>27</v>
      </c>
      <c r="C12" s="310"/>
      <c r="D12" s="310"/>
      <c r="E12" s="303" t="s">
        <v>15</v>
      </c>
      <c r="F12" s="317"/>
      <c r="G12" s="303" t="s">
        <v>15</v>
      </c>
    </row>
    <row r="13" spans="1:7" x14ac:dyDescent="0.25">
      <c r="A13" s="303" t="s">
        <v>18</v>
      </c>
      <c r="B13" s="310" t="s">
        <v>28</v>
      </c>
      <c r="C13" s="310"/>
      <c r="D13" s="310">
        <v>3.41</v>
      </c>
      <c r="E13" s="303" t="s">
        <v>15</v>
      </c>
      <c r="F13" s="322">
        <f>D13*I32*I33</f>
        <v>678356.21039999998</v>
      </c>
      <c r="G13" s="303" t="s">
        <v>15</v>
      </c>
    </row>
    <row r="14" spans="1:7" s="16" customFormat="1" x14ac:dyDescent="0.25">
      <c r="A14" s="307" t="s">
        <v>19</v>
      </c>
      <c r="B14" s="304" t="s">
        <v>29</v>
      </c>
      <c r="C14" s="304"/>
      <c r="D14" s="304"/>
      <c r="E14" s="307" t="s">
        <v>15</v>
      </c>
      <c r="F14" s="323"/>
      <c r="G14" s="307" t="s">
        <v>15</v>
      </c>
    </row>
    <row r="15" spans="1:7" x14ac:dyDescent="0.25">
      <c r="A15" s="303" t="s">
        <v>20</v>
      </c>
      <c r="B15" s="310" t="s">
        <v>30</v>
      </c>
      <c r="C15" s="310"/>
      <c r="D15" s="310"/>
      <c r="E15" s="303" t="s">
        <v>15</v>
      </c>
      <c r="F15" s="322">
        <v>8616308.2300000004</v>
      </c>
      <c r="G15" s="303" t="s">
        <v>15</v>
      </c>
    </row>
    <row r="16" spans="1:7" x14ac:dyDescent="0.25">
      <c r="A16" s="303" t="s">
        <v>31</v>
      </c>
      <c r="B16" s="310" t="s">
        <v>32</v>
      </c>
      <c r="C16" s="310"/>
      <c r="D16" s="310"/>
      <c r="E16" s="303" t="s">
        <v>15</v>
      </c>
      <c r="F16" s="322">
        <v>0</v>
      </c>
      <c r="G16" s="303" t="s">
        <v>15</v>
      </c>
    </row>
    <row r="17" spans="1:9" x14ac:dyDescent="0.25">
      <c r="A17" s="303" t="s">
        <v>33</v>
      </c>
      <c r="B17" s="310" t="s">
        <v>34</v>
      </c>
      <c r="C17" s="310"/>
      <c r="D17" s="310"/>
      <c r="E17" s="303" t="s">
        <v>15</v>
      </c>
      <c r="F17" s="322">
        <v>0</v>
      </c>
      <c r="G17" s="303" t="s">
        <v>15</v>
      </c>
    </row>
    <row r="18" spans="1:9" ht="30" x14ac:dyDescent="0.25">
      <c r="A18" s="303" t="s">
        <v>35</v>
      </c>
      <c r="B18" s="310" t="s">
        <v>36</v>
      </c>
      <c r="C18" s="310"/>
      <c r="D18" s="310"/>
      <c r="E18" s="303" t="s">
        <v>15</v>
      </c>
      <c r="F18" s="322">
        <v>0</v>
      </c>
      <c r="G18" s="303" t="s">
        <v>15</v>
      </c>
    </row>
    <row r="19" spans="1:9" x14ac:dyDescent="0.25">
      <c r="A19" s="303" t="s">
        <v>38</v>
      </c>
      <c r="B19" s="310" t="s">
        <v>37</v>
      </c>
      <c r="C19" s="310"/>
      <c r="D19" s="310"/>
      <c r="E19" s="303" t="s">
        <v>15</v>
      </c>
      <c r="F19" s="322">
        <v>0</v>
      </c>
      <c r="G19" s="303" t="s">
        <v>15</v>
      </c>
    </row>
    <row r="20" spans="1:9" x14ac:dyDescent="0.25">
      <c r="A20" s="303" t="s">
        <v>39</v>
      </c>
      <c r="B20" s="310" t="s">
        <v>40</v>
      </c>
      <c r="C20" s="310"/>
      <c r="D20" s="310"/>
      <c r="E20" s="303" t="s">
        <v>15</v>
      </c>
      <c r="F20" s="324">
        <f>F15</f>
        <v>8616308.2300000004</v>
      </c>
      <c r="G20" s="303" t="s">
        <v>15</v>
      </c>
    </row>
    <row r="21" spans="1:9" ht="30" x14ac:dyDescent="0.25">
      <c r="A21" s="303" t="s">
        <v>41</v>
      </c>
      <c r="B21" s="310" t="s">
        <v>381</v>
      </c>
      <c r="C21" s="310"/>
      <c r="D21" s="310"/>
      <c r="E21" s="303" t="s">
        <v>383</v>
      </c>
      <c r="F21" s="322">
        <v>0</v>
      </c>
      <c r="G21" s="303" t="s">
        <v>383</v>
      </c>
    </row>
    <row r="22" spans="1:9" ht="30" x14ac:dyDescent="0.25">
      <c r="A22" s="303" t="s">
        <v>44</v>
      </c>
      <c r="B22" s="310" t="s">
        <v>42</v>
      </c>
      <c r="C22" s="310"/>
      <c r="D22" s="310"/>
      <c r="E22" s="303" t="s">
        <v>15</v>
      </c>
      <c r="F22" s="322">
        <v>0</v>
      </c>
      <c r="G22" s="303" t="s">
        <v>15</v>
      </c>
    </row>
    <row r="23" spans="1:9" ht="30" x14ac:dyDescent="0.25">
      <c r="A23" s="303" t="s">
        <v>45</v>
      </c>
      <c r="B23" s="310" t="s">
        <v>382</v>
      </c>
      <c r="C23" s="310"/>
      <c r="D23" s="310"/>
      <c r="E23" s="303" t="s">
        <v>15</v>
      </c>
      <c r="F23" s="322">
        <f>F9+F10-F15</f>
        <v>480132.86160000041</v>
      </c>
      <c r="G23" s="303" t="s">
        <v>15</v>
      </c>
    </row>
    <row r="24" spans="1:9" ht="44.25" customHeight="1" x14ac:dyDescent="0.25">
      <c r="A24" s="472" t="s">
        <v>46</v>
      </c>
      <c r="B24" s="472"/>
      <c r="C24" s="472"/>
      <c r="D24" s="472"/>
      <c r="E24" s="472"/>
      <c r="F24" s="472"/>
      <c r="G24" s="472"/>
    </row>
    <row r="25" spans="1:9" x14ac:dyDescent="0.25">
      <c r="A25" s="332" t="s">
        <v>47</v>
      </c>
      <c r="B25" s="310" t="s">
        <v>48</v>
      </c>
      <c r="C25" s="310"/>
      <c r="D25" s="310"/>
      <c r="E25" s="303" t="s">
        <v>5</v>
      </c>
      <c r="F25" s="310"/>
      <c r="G25" s="303" t="s">
        <v>5</v>
      </c>
    </row>
    <row r="26" spans="1:9" x14ac:dyDescent="0.25">
      <c r="A26" s="332" t="s">
        <v>49</v>
      </c>
      <c r="B26" s="310" t="s">
        <v>387</v>
      </c>
      <c r="C26" s="310"/>
      <c r="D26" s="310">
        <v>40.14</v>
      </c>
      <c r="E26" s="303" t="s">
        <v>5</v>
      </c>
      <c r="F26" s="363">
        <f>D26*I32*I33</f>
        <v>7985108.0016000001</v>
      </c>
      <c r="G26" s="303" t="s">
        <v>5</v>
      </c>
    </row>
    <row r="27" spans="1:9" hidden="1" x14ac:dyDescent="0.25">
      <c r="A27" s="332" t="s">
        <v>51</v>
      </c>
      <c r="B27" s="310" t="s">
        <v>48</v>
      </c>
      <c r="C27" s="310"/>
      <c r="D27" s="310"/>
      <c r="E27" s="303" t="s">
        <v>5</v>
      </c>
      <c r="F27" s="310"/>
      <c r="G27" s="303" t="s">
        <v>5</v>
      </c>
    </row>
    <row r="28" spans="1:9" ht="30" hidden="1" x14ac:dyDescent="0.25">
      <c r="A28" s="332" t="s">
        <v>54</v>
      </c>
      <c r="B28" s="310" t="s">
        <v>415</v>
      </c>
      <c r="C28" s="310"/>
      <c r="D28" s="310"/>
      <c r="E28" s="303"/>
      <c r="F28" s="310"/>
      <c r="G28" s="303"/>
    </row>
    <row r="29" spans="1:9" hidden="1" x14ac:dyDescent="0.25">
      <c r="A29" s="332" t="s">
        <v>56</v>
      </c>
      <c r="B29" s="310" t="s">
        <v>416</v>
      </c>
      <c r="C29" s="310"/>
      <c r="D29" s="310"/>
      <c r="E29" s="303"/>
      <c r="F29" s="310"/>
      <c r="G29" s="303"/>
    </row>
    <row r="30" spans="1:9" hidden="1" x14ac:dyDescent="0.25">
      <c r="A30" s="332" t="s">
        <v>59</v>
      </c>
      <c r="B30" s="310" t="s">
        <v>417</v>
      </c>
      <c r="C30" s="310"/>
      <c r="D30" s="310"/>
      <c r="E30" s="303"/>
      <c r="F30" s="310"/>
      <c r="G30" s="303"/>
    </row>
    <row r="31" spans="1:9" hidden="1" x14ac:dyDescent="0.25">
      <c r="A31" s="303"/>
      <c r="B31" s="304" t="s">
        <v>429</v>
      </c>
      <c r="C31" s="304" t="s">
        <v>430</v>
      </c>
      <c r="D31" s="304" t="s">
        <v>433</v>
      </c>
      <c r="E31" s="303"/>
      <c r="F31" s="304"/>
      <c r="G31" s="303"/>
    </row>
    <row r="32" spans="1:9" ht="26.25" x14ac:dyDescent="0.25">
      <c r="A32" s="332"/>
      <c r="B32" s="338" t="s">
        <v>388</v>
      </c>
      <c r="C32" s="468" t="s">
        <v>419</v>
      </c>
      <c r="D32" s="317">
        <v>6.31</v>
      </c>
      <c r="E32" s="303" t="s">
        <v>15</v>
      </c>
      <c r="F32" s="322">
        <f>D32*$I$32*$I$33</f>
        <v>1255257.3863999997</v>
      </c>
      <c r="G32" s="303" t="s">
        <v>15</v>
      </c>
      <c r="I32">
        <v>16577.62</v>
      </c>
    </row>
    <row r="33" spans="1:9" ht="30" customHeight="1" x14ac:dyDescent="0.25">
      <c r="A33" s="332"/>
      <c r="B33" s="338" t="s">
        <v>389</v>
      </c>
      <c r="C33" s="468"/>
      <c r="D33" s="317"/>
      <c r="E33" s="303" t="s">
        <v>15</v>
      </c>
      <c r="F33" s="322">
        <f t="shared" ref="F33:F58" si="0">D33*$I$32*$I$33</f>
        <v>0</v>
      </c>
      <c r="G33" s="303" t="s">
        <v>15</v>
      </c>
      <c r="I33">
        <v>12</v>
      </c>
    </row>
    <row r="34" spans="1:9" x14ac:dyDescent="0.25">
      <c r="A34" s="332"/>
      <c r="B34" s="310" t="s">
        <v>390</v>
      </c>
      <c r="C34" s="468"/>
      <c r="D34" s="317">
        <v>0.82</v>
      </c>
      <c r="E34" s="303" t="s">
        <v>15</v>
      </c>
      <c r="F34" s="322">
        <f t="shared" si="0"/>
        <v>163123.78079999998</v>
      </c>
      <c r="G34" s="303" t="s">
        <v>15</v>
      </c>
    </row>
    <row r="35" spans="1:9" x14ac:dyDescent="0.25">
      <c r="A35" s="332"/>
      <c r="B35" s="310" t="s">
        <v>391</v>
      </c>
      <c r="C35" s="468"/>
      <c r="D35" s="317">
        <v>0.16</v>
      </c>
      <c r="E35" s="303" t="s">
        <v>15</v>
      </c>
      <c r="F35" s="322">
        <f t="shared" si="0"/>
        <v>31829.030399999996</v>
      </c>
      <c r="G35" s="303" t="s">
        <v>15</v>
      </c>
    </row>
    <row r="36" spans="1:9" x14ac:dyDescent="0.25">
      <c r="A36" s="332"/>
      <c r="B36" s="310" t="s">
        <v>392</v>
      </c>
      <c r="C36" s="310" t="s">
        <v>418</v>
      </c>
      <c r="D36" s="317">
        <v>1.3</v>
      </c>
      <c r="E36" s="303" t="s">
        <v>15</v>
      </c>
      <c r="F36" s="322">
        <f t="shared" si="0"/>
        <v>258610.87199999997</v>
      </c>
      <c r="G36" s="303" t="s">
        <v>15</v>
      </c>
    </row>
    <row r="37" spans="1:9" ht="45" x14ac:dyDescent="0.25">
      <c r="A37" s="332"/>
      <c r="B37" s="310" t="s">
        <v>393</v>
      </c>
      <c r="C37" s="310" t="s">
        <v>424</v>
      </c>
      <c r="D37" s="317">
        <v>0.17</v>
      </c>
      <c r="E37" s="303" t="s">
        <v>15</v>
      </c>
      <c r="F37" s="322">
        <f t="shared" si="0"/>
        <v>33818.344799999999</v>
      </c>
      <c r="G37" s="303" t="s">
        <v>15</v>
      </c>
    </row>
    <row r="38" spans="1:9" ht="30" x14ac:dyDescent="0.25">
      <c r="A38" s="332"/>
      <c r="B38" s="310" t="s">
        <v>394</v>
      </c>
      <c r="C38" s="310" t="s">
        <v>425</v>
      </c>
      <c r="D38" s="317">
        <v>1.33</v>
      </c>
      <c r="E38" s="303" t="s">
        <v>15</v>
      </c>
      <c r="F38" s="322">
        <f t="shared" si="0"/>
        <v>264578.81520000001</v>
      </c>
      <c r="G38" s="303" t="s">
        <v>15</v>
      </c>
    </row>
    <row r="39" spans="1:9" ht="26.25" x14ac:dyDescent="0.25">
      <c r="A39" s="332"/>
      <c r="B39" s="338" t="s">
        <v>395</v>
      </c>
      <c r="C39" s="468" t="s">
        <v>426</v>
      </c>
      <c r="D39" s="317">
        <v>2.0299999999999998</v>
      </c>
      <c r="E39" s="303" t="s">
        <v>15</v>
      </c>
      <c r="F39" s="322">
        <f t="shared" si="0"/>
        <v>403830.82319999987</v>
      </c>
      <c r="G39" s="303" t="s">
        <v>15</v>
      </c>
    </row>
    <row r="40" spans="1:9" ht="30" x14ac:dyDescent="0.25">
      <c r="A40" s="332"/>
      <c r="B40" s="310" t="s">
        <v>396</v>
      </c>
      <c r="C40" s="468"/>
      <c r="D40" s="317">
        <v>1.4</v>
      </c>
      <c r="E40" s="303" t="s">
        <v>15</v>
      </c>
      <c r="F40" s="322">
        <f t="shared" si="0"/>
        <v>278504.01599999995</v>
      </c>
      <c r="G40" s="303" t="s">
        <v>15</v>
      </c>
    </row>
    <row r="41" spans="1:9" ht="26.25" x14ac:dyDescent="0.25">
      <c r="A41" s="332"/>
      <c r="B41" s="338" t="s">
        <v>397</v>
      </c>
      <c r="C41" s="468"/>
      <c r="D41" s="317">
        <v>0.52</v>
      </c>
      <c r="E41" s="303" t="s">
        <v>15</v>
      </c>
      <c r="F41" s="322">
        <f t="shared" si="0"/>
        <v>103444.34880000001</v>
      </c>
      <c r="G41" s="303" t="s">
        <v>15</v>
      </c>
    </row>
    <row r="42" spans="1:9" s="364" customFormat="1" ht="26.25" x14ac:dyDescent="0.25">
      <c r="A42" s="365"/>
      <c r="B42" s="359" t="s">
        <v>398</v>
      </c>
      <c r="C42" s="468"/>
      <c r="D42" s="366">
        <v>0.56000000000000005</v>
      </c>
      <c r="E42" s="367" t="s">
        <v>15</v>
      </c>
      <c r="F42" s="322">
        <f>SUM(F43:F46)</f>
        <v>111401.6064</v>
      </c>
      <c r="G42" s="367" t="s">
        <v>15</v>
      </c>
    </row>
    <row r="43" spans="1:9" x14ac:dyDescent="0.25">
      <c r="A43" s="332"/>
      <c r="B43" s="338" t="s">
        <v>399</v>
      </c>
      <c r="C43" s="310"/>
      <c r="D43" s="317">
        <v>0.13</v>
      </c>
      <c r="E43" s="303" t="s">
        <v>15</v>
      </c>
      <c r="F43" s="322">
        <f t="shared" si="0"/>
        <v>25861.087200000002</v>
      </c>
      <c r="G43" s="303" t="s">
        <v>15</v>
      </c>
    </row>
    <row r="44" spans="1:9" x14ac:dyDescent="0.25">
      <c r="A44" s="332"/>
      <c r="B44" s="338" t="s">
        <v>400</v>
      </c>
      <c r="C44" s="310"/>
      <c r="D44" s="317"/>
      <c r="E44" s="303" t="s">
        <v>15</v>
      </c>
      <c r="F44" s="322">
        <f t="shared" si="0"/>
        <v>0</v>
      </c>
      <c r="G44" s="303" t="s">
        <v>15</v>
      </c>
    </row>
    <row r="45" spans="1:9" ht="23.25" customHeight="1" x14ac:dyDescent="0.25">
      <c r="A45" s="332"/>
      <c r="B45" s="338" t="s">
        <v>401</v>
      </c>
      <c r="C45" s="310"/>
      <c r="D45" s="317">
        <v>0.38</v>
      </c>
      <c r="E45" s="303" t="s">
        <v>15</v>
      </c>
      <c r="F45" s="322">
        <f t="shared" si="0"/>
        <v>75593.947199999995</v>
      </c>
      <c r="G45" s="303" t="s">
        <v>15</v>
      </c>
    </row>
    <row r="46" spans="1:9" ht="18.75" customHeight="1" x14ac:dyDescent="0.25">
      <c r="A46" s="332"/>
      <c r="B46" s="338" t="s">
        <v>402</v>
      </c>
      <c r="C46" s="310"/>
      <c r="D46" s="317">
        <v>0.05</v>
      </c>
      <c r="E46" s="303" t="s">
        <v>15</v>
      </c>
      <c r="F46" s="322">
        <f t="shared" si="0"/>
        <v>9946.5720000000001</v>
      </c>
      <c r="G46" s="303" t="s">
        <v>15</v>
      </c>
    </row>
    <row r="47" spans="1:9" ht="29.25" customHeight="1" x14ac:dyDescent="0.25">
      <c r="A47" s="332"/>
      <c r="B47" s="338" t="s">
        <v>403</v>
      </c>
      <c r="C47" s="468" t="s">
        <v>427</v>
      </c>
      <c r="D47" s="317">
        <v>0.6</v>
      </c>
      <c r="E47" s="303" t="s">
        <v>15</v>
      </c>
      <c r="F47" s="322">
        <f t="shared" si="0"/>
        <v>119358.86399999997</v>
      </c>
      <c r="G47" s="303" t="s">
        <v>15</v>
      </c>
    </row>
    <row r="48" spans="1:9" ht="30.75" customHeight="1" x14ac:dyDescent="0.25">
      <c r="A48" s="332"/>
      <c r="B48" s="310" t="s">
        <v>404</v>
      </c>
      <c r="C48" s="468"/>
      <c r="D48" s="317">
        <v>0.01</v>
      </c>
      <c r="E48" s="303" t="s">
        <v>15</v>
      </c>
      <c r="F48" s="322">
        <f t="shared" si="0"/>
        <v>1989.3143999999998</v>
      </c>
      <c r="G48" s="303" t="s">
        <v>15</v>
      </c>
    </row>
    <row r="49" spans="1:7" ht="28.5" customHeight="1" x14ac:dyDescent="0.25">
      <c r="A49" s="332"/>
      <c r="B49" s="310" t="s">
        <v>405</v>
      </c>
      <c r="C49" s="468"/>
      <c r="D49" s="317">
        <v>0.38</v>
      </c>
      <c r="E49" s="303" t="s">
        <v>15</v>
      </c>
      <c r="F49" s="322">
        <f t="shared" si="0"/>
        <v>75593.947199999995</v>
      </c>
      <c r="G49" s="303" t="s">
        <v>15</v>
      </c>
    </row>
    <row r="50" spans="1:7" x14ac:dyDescent="0.25">
      <c r="A50" s="332"/>
      <c r="B50" s="338" t="s">
        <v>406</v>
      </c>
      <c r="C50" s="310" t="s">
        <v>428</v>
      </c>
      <c r="D50" s="317">
        <v>6.53</v>
      </c>
      <c r="E50" s="303" t="s">
        <v>15</v>
      </c>
      <c r="F50" s="322">
        <f t="shared" si="0"/>
        <v>1299022.3032</v>
      </c>
      <c r="G50" s="303" t="s">
        <v>15</v>
      </c>
    </row>
    <row r="51" spans="1:7" ht="30" x14ac:dyDescent="0.25">
      <c r="A51" s="332"/>
      <c r="B51" s="310" t="s">
        <v>407</v>
      </c>
      <c r="C51" s="310" t="s">
        <v>422</v>
      </c>
      <c r="D51" s="317">
        <v>8.08</v>
      </c>
      <c r="E51" s="303" t="s">
        <v>15</v>
      </c>
      <c r="F51" s="322">
        <f t="shared" si="0"/>
        <v>1607366.0351999998</v>
      </c>
      <c r="G51" s="303" t="s">
        <v>15</v>
      </c>
    </row>
    <row r="52" spans="1:7" x14ac:dyDescent="0.25">
      <c r="A52" s="332"/>
      <c r="B52" s="338" t="s">
        <v>408</v>
      </c>
      <c r="C52" s="310" t="s">
        <v>422</v>
      </c>
      <c r="D52" s="317">
        <v>3.12</v>
      </c>
      <c r="E52" s="303" t="s">
        <v>15</v>
      </c>
      <c r="F52" s="322">
        <f t="shared" si="0"/>
        <v>620666.09279999998</v>
      </c>
      <c r="G52" s="303" t="s">
        <v>15</v>
      </c>
    </row>
    <row r="53" spans="1:7" ht="26.25" x14ac:dyDescent="0.25">
      <c r="A53" s="332"/>
      <c r="B53" s="338" t="s">
        <v>409</v>
      </c>
      <c r="C53" s="310" t="s">
        <v>422</v>
      </c>
      <c r="D53" s="317">
        <v>1.5</v>
      </c>
      <c r="E53" s="303" t="s">
        <v>15</v>
      </c>
      <c r="F53" s="322">
        <f t="shared" si="0"/>
        <v>298397.16000000003</v>
      </c>
      <c r="G53" s="303" t="s">
        <v>15</v>
      </c>
    </row>
    <row r="54" spans="1:7" ht="51" x14ac:dyDescent="0.25">
      <c r="A54" s="332"/>
      <c r="B54" s="360" t="s">
        <v>410</v>
      </c>
      <c r="C54" s="310" t="s">
        <v>422</v>
      </c>
      <c r="D54" s="317">
        <v>0.44</v>
      </c>
      <c r="E54" s="303" t="s">
        <v>15</v>
      </c>
      <c r="F54" s="322">
        <f t="shared" si="0"/>
        <v>87529.833599999998</v>
      </c>
      <c r="G54" s="303" t="s">
        <v>15</v>
      </c>
    </row>
    <row r="55" spans="1:7" ht="32.25" customHeight="1" x14ac:dyDescent="0.25">
      <c r="A55" s="332"/>
      <c r="B55" s="338" t="s">
        <v>411</v>
      </c>
      <c r="C55" s="310" t="s">
        <v>422</v>
      </c>
      <c r="D55" s="317"/>
      <c r="E55" s="303" t="s">
        <v>15</v>
      </c>
      <c r="F55" s="322">
        <f>D55*$I$32*6</f>
        <v>0</v>
      </c>
      <c r="G55" s="303" t="s">
        <v>15</v>
      </c>
    </row>
    <row r="56" spans="1:7" ht="39" x14ac:dyDescent="0.25">
      <c r="A56" s="332"/>
      <c r="B56" s="361" t="s">
        <v>412</v>
      </c>
      <c r="C56" s="310" t="s">
        <v>428</v>
      </c>
      <c r="D56" s="317">
        <v>0.19</v>
      </c>
      <c r="E56" s="303" t="s">
        <v>15</v>
      </c>
      <c r="F56" s="322">
        <f t="shared" si="0"/>
        <v>37796.973599999998</v>
      </c>
      <c r="G56" s="303" t="s">
        <v>15</v>
      </c>
    </row>
    <row r="57" spans="1:7" ht="26.25" x14ac:dyDescent="0.25">
      <c r="A57" s="332"/>
      <c r="B57" s="338" t="s">
        <v>413</v>
      </c>
      <c r="C57" s="310" t="s">
        <v>423</v>
      </c>
      <c r="D57" s="317">
        <v>1.28</v>
      </c>
      <c r="E57" s="303" t="s">
        <v>15</v>
      </c>
      <c r="F57" s="322">
        <f t="shared" si="0"/>
        <v>254632.24319999997</v>
      </c>
      <c r="G57" s="303" t="s">
        <v>15</v>
      </c>
    </row>
    <row r="58" spans="1:7" ht="27" thickBot="1" x14ac:dyDescent="0.3">
      <c r="A58" s="351"/>
      <c r="B58" s="362" t="s">
        <v>414</v>
      </c>
      <c r="C58" s="353" t="s">
        <v>418</v>
      </c>
      <c r="D58" s="354">
        <v>3.41</v>
      </c>
      <c r="E58" s="355" t="s">
        <v>15</v>
      </c>
      <c r="F58" s="322">
        <f t="shared" si="0"/>
        <v>678356.21039999998</v>
      </c>
      <c r="G58" s="355" t="s">
        <v>15</v>
      </c>
    </row>
    <row r="59" spans="1:7" x14ac:dyDescent="0.25">
      <c r="A59" s="453" t="s">
        <v>53</v>
      </c>
      <c r="B59" s="453"/>
      <c r="C59" s="453"/>
      <c r="D59" s="453"/>
      <c r="E59" s="453"/>
      <c r="F59" s="453"/>
      <c r="G59" s="453"/>
    </row>
    <row r="60" spans="1:7" x14ac:dyDescent="0.25">
      <c r="A60" s="303" t="s">
        <v>61</v>
      </c>
      <c r="B60" s="310" t="s">
        <v>55</v>
      </c>
      <c r="C60" s="310"/>
      <c r="D60" s="310"/>
      <c r="E60" s="303" t="s">
        <v>58</v>
      </c>
      <c r="F60" s="322">
        <v>0</v>
      </c>
      <c r="G60" s="303" t="s">
        <v>58</v>
      </c>
    </row>
    <row r="61" spans="1:7" x14ac:dyDescent="0.25">
      <c r="A61" s="303" t="s">
        <v>64</v>
      </c>
      <c r="B61" s="310" t="s">
        <v>57</v>
      </c>
      <c r="C61" s="310"/>
      <c r="D61" s="310"/>
      <c r="E61" s="303" t="s">
        <v>58</v>
      </c>
      <c r="F61" s="322">
        <v>0</v>
      </c>
      <c r="G61" s="303" t="s">
        <v>58</v>
      </c>
    </row>
    <row r="62" spans="1:7" ht="30" x14ac:dyDescent="0.25">
      <c r="A62" s="303" t="s">
        <v>65</v>
      </c>
      <c r="B62" s="310" t="s">
        <v>60</v>
      </c>
      <c r="C62" s="310"/>
      <c r="D62" s="310"/>
      <c r="E62" s="303" t="s">
        <v>58</v>
      </c>
      <c r="F62" s="322">
        <v>0</v>
      </c>
      <c r="G62" s="303" t="s">
        <v>58</v>
      </c>
    </row>
    <row r="63" spans="1:7" x14ac:dyDescent="0.25">
      <c r="A63" s="303" t="s">
        <v>67</v>
      </c>
      <c r="B63" s="310" t="s">
        <v>62</v>
      </c>
      <c r="C63" s="310"/>
      <c r="D63" s="310"/>
      <c r="E63" s="303" t="s">
        <v>15</v>
      </c>
      <c r="F63" s="322">
        <v>0</v>
      </c>
      <c r="G63" s="303" t="s">
        <v>15</v>
      </c>
    </row>
    <row r="64" spans="1:7" x14ac:dyDescent="0.25">
      <c r="A64" s="453" t="s">
        <v>355</v>
      </c>
      <c r="B64" s="453"/>
      <c r="C64" s="453"/>
      <c r="D64" s="453"/>
      <c r="E64" s="453"/>
      <c r="F64" s="453"/>
      <c r="G64" s="453"/>
    </row>
    <row r="65" spans="1:7" ht="30" x14ac:dyDescent="0.25">
      <c r="A65" s="303" t="s">
        <v>68</v>
      </c>
      <c r="B65" s="310" t="s">
        <v>439</v>
      </c>
      <c r="C65" s="310"/>
      <c r="D65" s="310"/>
      <c r="E65" s="303" t="s">
        <v>15</v>
      </c>
      <c r="F65" s="322">
        <v>0</v>
      </c>
      <c r="G65" s="303" t="s">
        <v>15</v>
      </c>
    </row>
    <row r="66" spans="1:7" ht="30" x14ac:dyDescent="0.25">
      <c r="A66" s="303" t="s">
        <v>70</v>
      </c>
      <c r="B66" s="310" t="s">
        <v>371</v>
      </c>
      <c r="C66" s="310"/>
      <c r="D66" s="310"/>
      <c r="E66" s="303" t="s">
        <v>15</v>
      </c>
      <c r="F66" s="322">
        <v>0</v>
      </c>
      <c r="G66" s="303" t="s">
        <v>15</v>
      </c>
    </row>
    <row r="67" spans="1:7" ht="30" x14ac:dyDescent="0.25">
      <c r="A67" s="303" t="s">
        <v>71</v>
      </c>
      <c r="B67" s="310" t="s">
        <v>440</v>
      </c>
      <c r="C67" s="310"/>
      <c r="D67" s="310"/>
      <c r="E67" s="303" t="s">
        <v>15</v>
      </c>
      <c r="F67" s="322">
        <v>1652410.9</v>
      </c>
      <c r="G67" s="303" t="s">
        <v>15</v>
      </c>
    </row>
    <row r="68" spans="1:7" ht="30" x14ac:dyDescent="0.25">
      <c r="A68" s="303" t="s">
        <v>73</v>
      </c>
      <c r="B68" s="310" t="s">
        <v>381</v>
      </c>
      <c r="C68" s="310"/>
      <c r="D68" s="310"/>
      <c r="E68" s="303" t="s">
        <v>15</v>
      </c>
      <c r="F68" s="322"/>
      <c r="G68" s="303" t="s">
        <v>15</v>
      </c>
    </row>
    <row r="69" spans="1:7" ht="30" x14ac:dyDescent="0.25">
      <c r="A69" s="303" t="s">
        <v>74</v>
      </c>
      <c r="B69" s="310" t="s">
        <v>441</v>
      </c>
      <c r="C69" s="310"/>
      <c r="D69" s="310"/>
      <c r="E69" s="303" t="s">
        <v>15</v>
      </c>
      <c r="F69" s="322"/>
      <c r="G69" s="303" t="s">
        <v>15</v>
      </c>
    </row>
    <row r="70" spans="1:7" ht="30" x14ac:dyDescent="0.25">
      <c r="A70" s="303" t="s">
        <v>75</v>
      </c>
      <c r="B70" s="310" t="s">
        <v>442</v>
      </c>
      <c r="C70" s="310"/>
      <c r="D70" s="310"/>
      <c r="E70" s="303" t="s">
        <v>15</v>
      </c>
      <c r="F70" s="324">
        <f>F77+F88+F99+F110+F67</f>
        <v>1829397.3099999991</v>
      </c>
      <c r="G70" s="303" t="s">
        <v>15</v>
      </c>
    </row>
    <row r="71" spans="1:7" x14ac:dyDescent="0.25">
      <c r="A71" s="456" t="s">
        <v>350</v>
      </c>
      <c r="B71" s="456"/>
      <c r="C71" s="456"/>
      <c r="D71" s="456"/>
      <c r="E71" s="456"/>
      <c r="F71" s="456"/>
      <c r="G71" s="456"/>
    </row>
    <row r="72" spans="1:7" x14ac:dyDescent="0.25">
      <c r="A72" s="373" t="s">
        <v>78</v>
      </c>
      <c r="B72" s="374" t="s">
        <v>16</v>
      </c>
      <c r="C72" s="374"/>
      <c r="D72" s="374"/>
      <c r="E72" s="373" t="s">
        <v>5</v>
      </c>
      <c r="F72" s="375" t="s">
        <v>315</v>
      </c>
      <c r="G72" s="373" t="s">
        <v>5</v>
      </c>
    </row>
    <row r="73" spans="1:7" x14ac:dyDescent="0.25">
      <c r="A73" s="373" t="s">
        <v>80</v>
      </c>
      <c r="B73" s="374" t="s">
        <v>14</v>
      </c>
      <c r="C73" s="374"/>
      <c r="D73" s="374"/>
      <c r="E73" s="373" t="s">
        <v>5</v>
      </c>
      <c r="F73" s="375" t="s">
        <v>316</v>
      </c>
      <c r="G73" s="373" t="s">
        <v>5</v>
      </c>
    </row>
    <row r="74" spans="1:7" x14ac:dyDescent="0.25">
      <c r="A74" s="373" t="s">
        <v>82</v>
      </c>
      <c r="B74" s="374" t="s">
        <v>76</v>
      </c>
      <c r="C74" s="374"/>
      <c r="D74" s="374"/>
      <c r="E74" s="373" t="s">
        <v>77</v>
      </c>
      <c r="F74" s="386">
        <f>-F75/D75</f>
        <v>-656177.63500000001</v>
      </c>
      <c r="G74" s="373" t="s">
        <v>77</v>
      </c>
    </row>
    <row r="75" spans="1:7" x14ac:dyDescent="0.25">
      <c r="A75" s="373" t="s">
        <v>84</v>
      </c>
      <c r="B75" s="374" t="s">
        <v>79</v>
      </c>
      <c r="C75" s="374"/>
      <c r="D75" s="374">
        <v>2</v>
      </c>
      <c r="E75" s="373" t="s">
        <v>15</v>
      </c>
      <c r="F75" s="387">
        <f>1058814.98+253540.29</f>
        <v>1312355.27</v>
      </c>
      <c r="G75" s="373" t="s">
        <v>15</v>
      </c>
    </row>
    <row r="76" spans="1:7" x14ac:dyDescent="0.25">
      <c r="A76" s="373" t="s">
        <v>86</v>
      </c>
      <c r="B76" s="374" t="s">
        <v>81</v>
      </c>
      <c r="C76" s="374"/>
      <c r="D76" s="374"/>
      <c r="E76" s="373" t="s">
        <v>15</v>
      </c>
      <c r="F76" s="387">
        <v>1085016.5900000001</v>
      </c>
      <c r="G76" s="373" t="s">
        <v>15</v>
      </c>
    </row>
    <row r="77" spans="1:7" x14ac:dyDescent="0.25">
      <c r="A77" s="373" t="s">
        <v>88</v>
      </c>
      <c r="B77" s="374" t="s">
        <v>83</v>
      </c>
      <c r="C77" s="374"/>
      <c r="D77" s="374"/>
      <c r="E77" s="373" t="s">
        <v>15</v>
      </c>
      <c r="F77" s="386">
        <f>F75-F76</f>
        <v>227338.67999999993</v>
      </c>
      <c r="G77" s="373" t="s">
        <v>15</v>
      </c>
    </row>
    <row r="78" spans="1:7" ht="30" x14ac:dyDescent="0.25">
      <c r="A78" s="373" t="s">
        <v>90</v>
      </c>
      <c r="B78" s="374" t="s">
        <v>85</v>
      </c>
      <c r="C78" s="374"/>
      <c r="D78" s="374"/>
      <c r="E78" s="373" t="s">
        <v>15</v>
      </c>
      <c r="F78" s="386">
        <v>1305093.27</v>
      </c>
      <c r="G78" s="373" t="s">
        <v>15</v>
      </c>
    </row>
    <row r="79" spans="1:7" ht="30" x14ac:dyDescent="0.25">
      <c r="A79" s="373" t="s">
        <v>93</v>
      </c>
      <c r="B79" s="374" t="s">
        <v>87</v>
      </c>
      <c r="C79" s="374"/>
      <c r="D79" s="374"/>
      <c r="E79" s="373" t="s">
        <v>15</v>
      </c>
      <c r="F79" s="386">
        <v>1174089.57</v>
      </c>
      <c r="G79" s="373" t="s">
        <v>15</v>
      </c>
    </row>
    <row r="80" spans="1:7" ht="30" x14ac:dyDescent="0.25">
      <c r="A80" s="373" t="s">
        <v>94</v>
      </c>
      <c r="B80" s="374" t="s">
        <v>89</v>
      </c>
      <c r="C80" s="374"/>
      <c r="D80" s="374"/>
      <c r="E80" s="373" t="s">
        <v>15</v>
      </c>
      <c r="F80" s="386">
        <v>131003.7</v>
      </c>
      <c r="G80" s="373" t="s">
        <v>15</v>
      </c>
    </row>
    <row r="81" spans="1:7" ht="45" x14ac:dyDescent="0.25">
      <c r="A81" s="373" t="s">
        <v>95</v>
      </c>
      <c r="B81" s="374" t="s">
        <v>444</v>
      </c>
      <c r="C81" s="374"/>
      <c r="D81" s="374"/>
      <c r="E81" s="373" t="s">
        <v>15</v>
      </c>
      <c r="F81" s="386">
        <v>1160.4000000000001</v>
      </c>
      <c r="G81" s="373" t="s">
        <v>15</v>
      </c>
    </row>
    <row r="82" spans="1:7" x14ac:dyDescent="0.25">
      <c r="A82" s="456" t="s">
        <v>72</v>
      </c>
      <c r="B82" s="456"/>
      <c r="C82" s="456"/>
      <c r="D82" s="456"/>
      <c r="E82" s="456"/>
      <c r="F82" s="456"/>
      <c r="G82" s="456"/>
    </row>
    <row r="83" spans="1:7" x14ac:dyDescent="0.25">
      <c r="A83" s="373" t="s">
        <v>78</v>
      </c>
      <c r="B83" s="374" t="s">
        <v>16</v>
      </c>
      <c r="C83" s="374"/>
      <c r="D83" s="374"/>
      <c r="E83" s="373" t="s">
        <v>5</v>
      </c>
      <c r="F83" s="388" t="s">
        <v>332</v>
      </c>
      <c r="G83" s="373" t="s">
        <v>5</v>
      </c>
    </row>
    <row r="84" spans="1:7" x14ac:dyDescent="0.25">
      <c r="A84" s="373" t="s">
        <v>80</v>
      </c>
      <c r="B84" s="374" t="s">
        <v>14</v>
      </c>
      <c r="C84" s="374"/>
      <c r="D84" s="374"/>
      <c r="E84" s="373" t="s">
        <v>5</v>
      </c>
      <c r="F84" s="388" t="s">
        <v>331</v>
      </c>
      <c r="G84" s="373" t="s">
        <v>5</v>
      </c>
    </row>
    <row r="85" spans="1:7" x14ac:dyDescent="0.25">
      <c r="A85" s="373" t="s">
        <v>82</v>
      </c>
      <c r="B85" s="374" t="s">
        <v>76</v>
      </c>
      <c r="C85" s="374"/>
      <c r="D85" s="374"/>
      <c r="E85" s="373" t="s">
        <v>77</v>
      </c>
      <c r="F85" s="386">
        <f>F86/D86</f>
        <v>24848.721793534929</v>
      </c>
      <c r="G85" s="373" t="s">
        <v>77</v>
      </c>
    </row>
    <row r="86" spans="1:7" x14ac:dyDescent="0.25">
      <c r="A86" s="373" t="s">
        <v>84</v>
      </c>
      <c r="B86" s="374" t="s">
        <v>79</v>
      </c>
      <c r="C86" s="374"/>
      <c r="D86" s="374">
        <v>47.95</v>
      </c>
      <c r="E86" s="373" t="s">
        <v>15</v>
      </c>
      <c r="F86" s="387">
        <v>1191496.21</v>
      </c>
      <c r="G86" s="373" t="s">
        <v>15</v>
      </c>
    </row>
    <row r="87" spans="1:7" ht="27.75" customHeight="1" x14ac:dyDescent="0.25">
      <c r="A87" s="373" t="s">
        <v>86</v>
      </c>
      <c r="B87" s="374" t="s">
        <v>81</v>
      </c>
      <c r="C87" s="374"/>
      <c r="D87" s="374"/>
      <c r="E87" s="373" t="s">
        <v>15</v>
      </c>
      <c r="F87" s="387">
        <v>1166392.8400000001</v>
      </c>
      <c r="G87" s="373" t="s">
        <v>15</v>
      </c>
    </row>
    <row r="88" spans="1:7" x14ac:dyDescent="0.25">
      <c r="A88" s="373" t="s">
        <v>88</v>
      </c>
      <c r="B88" s="374" t="s">
        <v>83</v>
      </c>
      <c r="C88" s="374"/>
      <c r="D88" s="374"/>
      <c r="E88" s="373" t="s">
        <v>15</v>
      </c>
      <c r="F88" s="386">
        <f>F86-F87</f>
        <v>25103.369999999879</v>
      </c>
      <c r="G88" s="373" t="s">
        <v>15</v>
      </c>
    </row>
    <row r="89" spans="1:7" ht="30" x14ac:dyDescent="0.25">
      <c r="A89" s="373" t="s">
        <v>90</v>
      </c>
      <c r="B89" s="374" t="s">
        <v>85</v>
      </c>
      <c r="C89" s="374"/>
      <c r="D89" s="374"/>
      <c r="E89" s="373" t="s">
        <v>15</v>
      </c>
      <c r="F89" s="386">
        <v>1135126.1200000001</v>
      </c>
      <c r="G89" s="373" t="s">
        <v>15</v>
      </c>
    </row>
    <row r="90" spans="1:7" ht="30" x14ac:dyDescent="0.25">
      <c r="A90" s="373" t="s">
        <v>93</v>
      </c>
      <c r="B90" s="374" t="s">
        <v>87</v>
      </c>
      <c r="C90" s="374"/>
      <c r="D90" s="374"/>
      <c r="E90" s="373" t="s">
        <v>15</v>
      </c>
      <c r="F90" s="386">
        <v>1063873.3999999999</v>
      </c>
      <c r="G90" s="373" t="s">
        <v>15</v>
      </c>
    </row>
    <row r="91" spans="1:7" ht="30" x14ac:dyDescent="0.25">
      <c r="A91" s="373" t="s">
        <v>94</v>
      </c>
      <c r="B91" s="374" t="s">
        <v>89</v>
      </c>
      <c r="C91" s="374"/>
      <c r="D91" s="374"/>
      <c r="E91" s="373" t="s">
        <v>15</v>
      </c>
      <c r="F91" s="386">
        <v>71252.72</v>
      </c>
      <c r="G91" s="373" t="s">
        <v>15</v>
      </c>
    </row>
    <row r="92" spans="1:7" ht="26.25" customHeight="1" x14ac:dyDescent="0.25">
      <c r="A92" s="373" t="s">
        <v>95</v>
      </c>
      <c r="B92" s="374" t="s">
        <v>444</v>
      </c>
      <c r="C92" s="374"/>
      <c r="D92" s="374"/>
      <c r="E92" s="373" t="s">
        <v>15</v>
      </c>
      <c r="F92" s="386">
        <v>0</v>
      </c>
      <c r="G92" s="373" t="s">
        <v>15</v>
      </c>
    </row>
    <row r="93" spans="1:7" x14ac:dyDescent="0.25">
      <c r="A93" s="453" t="s">
        <v>72</v>
      </c>
      <c r="B93" s="453"/>
      <c r="C93" s="453"/>
      <c r="D93" s="453"/>
      <c r="E93" s="453"/>
      <c r="F93" s="453"/>
      <c r="G93" s="453"/>
    </row>
    <row r="94" spans="1:7" x14ac:dyDescent="0.25">
      <c r="A94" s="303" t="s">
        <v>78</v>
      </c>
      <c r="B94" s="310" t="s">
        <v>16</v>
      </c>
      <c r="C94" s="310"/>
      <c r="D94" s="310"/>
      <c r="E94" s="303" t="s">
        <v>5</v>
      </c>
      <c r="F94" s="302" t="s">
        <v>325</v>
      </c>
      <c r="G94" s="303" t="s">
        <v>5</v>
      </c>
    </row>
    <row r="95" spans="1:7" x14ac:dyDescent="0.25">
      <c r="A95" s="303" t="s">
        <v>80</v>
      </c>
      <c r="B95" s="310" t="s">
        <v>14</v>
      </c>
      <c r="C95" s="310"/>
      <c r="D95" s="310"/>
      <c r="E95" s="303" t="s">
        <v>5</v>
      </c>
      <c r="F95" s="302" t="s">
        <v>331</v>
      </c>
      <c r="G95" s="303" t="s">
        <v>5</v>
      </c>
    </row>
    <row r="96" spans="1:7" x14ac:dyDescent="0.25">
      <c r="A96" s="303" t="s">
        <v>82</v>
      </c>
      <c r="B96" s="310" t="s">
        <v>76</v>
      </c>
      <c r="C96" s="310"/>
      <c r="D96" s="310"/>
      <c r="E96" s="303" t="s">
        <v>77</v>
      </c>
      <c r="F96" s="318">
        <f>F97/D97</f>
        <v>24236.183583237213</v>
      </c>
      <c r="G96" s="303" t="s">
        <v>77</v>
      </c>
    </row>
    <row r="97" spans="1:8" x14ac:dyDescent="0.25">
      <c r="A97" s="303" t="s">
        <v>84</v>
      </c>
      <c r="B97" s="310" t="s">
        <v>79</v>
      </c>
      <c r="C97" s="310"/>
      <c r="D97" s="310">
        <v>52.02</v>
      </c>
      <c r="E97" s="303" t="s">
        <v>15</v>
      </c>
      <c r="F97" s="395">
        <f>1197645.13+63121.14</f>
        <v>1260766.2699999998</v>
      </c>
      <c r="G97" s="303" t="s">
        <v>15</v>
      </c>
    </row>
    <row r="98" spans="1:8" x14ac:dyDescent="0.25">
      <c r="A98" s="303" t="s">
        <v>86</v>
      </c>
      <c r="B98" s="310" t="s">
        <v>81</v>
      </c>
      <c r="C98" s="310"/>
      <c r="D98" s="310"/>
      <c r="E98" s="303" t="s">
        <v>15</v>
      </c>
      <c r="F98" s="395">
        <v>1231812.95</v>
      </c>
      <c r="G98" s="303" t="s">
        <v>15</v>
      </c>
    </row>
    <row r="99" spans="1:8" x14ac:dyDescent="0.25">
      <c r="A99" s="303" t="s">
        <v>88</v>
      </c>
      <c r="B99" s="310" t="s">
        <v>83</v>
      </c>
      <c r="C99" s="310"/>
      <c r="D99" s="310"/>
      <c r="E99" s="303" t="s">
        <v>15</v>
      </c>
      <c r="F99" s="318">
        <f>F97-F98</f>
        <v>28953.319999999832</v>
      </c>
      <c r="G99" s="303" t="s">
        <v>15</v>
      </c>
    </row>
    <row r="100" spans="1:8" ht="30" x14ac:dyDescent="0.25">
      <c r="A100" s="303" t="s">
        <v>90</v>
      </c>
      <c r="B100" s="310" t="s">
        <v>85</v>
      </c>
      <c r="C100" s="310"/>
      <c r="D100" s="310"/>
      <c r="E100" s="303" t="s">
        <v>15</v>
      </c>
      <c r="F100" s="318">
        <v>1189585.22</v>
      </c>
      <c r="G100" s="303" t="s">
        <v>15</v>
      </c>
    </row>
    <row r="101" spans="1:8" ht="30" x14ac:dyDescent="0.25">
      <c r="A101" s="303" t="s">
        <v>93</v>
      </c>
      <c r="B101" s="310" t="s">
        <v>87</v>
      </c>
      <c r="C101" s="310"/>
      <c r="D101" s="310"/>
      <c r="E101" s="303" t="s">
        <v>15</v>
      </c>
      <c r="F101" s="318">
        <v>1107296.82</v>
      </c>
      <c r="G101" s="303" t="s">
        <v>15</v>
      </c>
    </row>
    <row r="102" spans="1:8" ht="30" x14ac:dyDescent="0.25">
      <c r="A102" s="303" t="s">
        <v>94</v>
      </c>
      <c r="B102" s="310" t="s">
        <v>89</v>
      </c>
      <c r="C102" s="310"/>
      <c r="D102" s="310"/>
      <c r="E102" s="303" t="s">
        <v>15</v>
      </c>
      <c r="F102" s="318">
        <v>82288.399999999994</v>
      </c>
      <c r="G102" s="303" t="s">
        <v>15</v>
      </c>
    </row>
    <row r="103" spans="1:8" ht="45" x14ac:dyDescent="0.25">
      <c r="A103" s="303" t="s">
        <v>95</v>
      </c>
      <c r="B103" s="310" t="s">
        <v>444</v>
      </c>
      <c r="C103" s="310"/>
      <c r="D103" s="310"/>
      <c r="E103" s="303" t="s">
        <v>15</v>
      </c>
      <c r="F103" s="318">
        <v>0</v>
      </c>
      <c r="G103" s="303" t="s">
        <v>15</v>
      </c>
    </row>
    <row r="104" spans="1:8" x14ac:dyDescent="0.25">
      <c r="A104" s="453" t="s">
        <v>72</v>
      </c>
      <c r="B104" s="453"/>
      <c r="C104" s="453"/>
      <c r="D104" s="453"/>
      <c r="E104" s="453"/>
      <c r="F104" s="453"/>
      <c r="G104" s="453"/>
    </row>
    <row r="105" spans="1:8" x14ac:dyDescent="0.25">
      <c r="A105" s="303" t="s">
        <v>78</v>
      </c>
      <c r="B105" s="310" t="s">
        <v>16</v>
      </c>
      <c r="C105" s="310"/>
      <c r="D105" s="310"/>
      <c r="E105" s="303" t="s">
        <v>5</v>
      </c>
      <c r="F105" s="302" t="s">
        <v>323</v>
      </c>
      <c r="G105" s="303" t="s">
        <v>5</v>
      </c>
    </row>
    <row r="106" spans="1:8" x14ac:dyDescent="0.25">
      <c r="A106" s="303" t="s">
        <v>80</v>
      </c>
      <c r="B106" s="310" t="s">
        <v>14</v>
      </c>
      <c r="C106" s="310"/>
      <c r="D106" s="310"/>
      <c r="E106" s="303" t="s">
        <v>5</v>
      </c>
      <c r="F106" s="302" t="s">
        <v>341</v>
      </c>
      <c r="G106" s="303" t="s">
        <v>5</v>
      </c>
    </row>
    <row r="107" spans="1:8" x14ac:dyDescent="0.25">
      <c r="A107" s="303" t="s">
        <v>82</v>
      </c>
      <c r="B107" s="310" t="s">
        <v>76</v>
      </c>
      <c r="C107" s="310"/>
      <c r="D107" s="310"/>
      <c r="E107" s="303" t="s">
        <v>77</v>
      </c>
      <c r="F107" s="318">
        <f>F108/D108</f>
        <v>1949.0451011726088</v>
      </c>
      <c r="G107" s="303" t="s">
        <v>77</v>
      </c>
    </row>
    <row r="108" spans="1:8" x14ac:dyDescent="0.25">
      <c r="A108" s="303" t="s">
        <v>84</v>
      </c>
      <c r="B108" s="310" t="s">
        <v>79</v>
      </c>
      <c r="C108" s="310"/>
      <c r="D108" s="310">
        <v>1852.28</v>
      </c>
      <c r="E108" s="303" t="s">
        <v>15</v>
      </c>
      <c r="F108" s="318">
        <f>2280665.09+1329512.17</f>
        <v>3610177.26</v>
      </c>
      <c r="G108" s="303" t="s">
        <v>15</v>
      </c>
    </row>
    <row r="109" spans="1:8" x14ac:dyDescent="0.25">
      <c r="A109" s="303" t="s">
        <v>86</v>
      </c>
      <c r="B109" s="310" t="s">
        <v>81</v>
      </c>
      <c r="C109" s="310"/>
      <c r="D109" s="310"/>
      <c r="E109" s="303" t="s">
        <v>15</v>
      </c>
      <c r="F109" s="318">
        <v>3714586.22</v>
      </c>
      <c r="G109" s="303" t="s">
        <v>15</v>
      </c>
    </row>
    <row r="110" spans="1:8" x14ac:dyDescent="0.25">
      <c r="A110" s="303" t="s">
        <v>88</v>
      </c>
      <c r="B110" s="310" t="s">
        <v>83</v>
      </c>
      <c r="C110" s="310"/>
      <c r="D110" s="310"/>
      <c r="E110" s="303" t="s">
        <v>15</v>
      </c>
      <c r="F110" s="318">
        <f>F108-F109</f>
        <v>-104408.96000000043</v>
      </c>
      <c r="G110" s="303" t="s">
        <v>15</v>
      </c>
    </row>
    <row r="111" spans="1:8" ht="30" x14ac:dyDescent="0.25">
      <c r="A111" s="303" t="s">
        <v>90</v>
      </c>
      <c r="B111" s="310" t="s">
        <v>85</v>
      </c>
      <c r="C111" s="310"/>
      <c r="D111" s="310"/>
      <c r="E111" s="303" t="s">
        <v>15</v>
      </c>
      <c r="F111" s="318">
        <v>3634934.73</v>
      </c>
      <c r="G111" s="303" t="s">
        <v>15</v>
      </c>
      <c r="H111" s="290"/>
    </row>
    <row r="112" spans="1:8" ht="30" x14ac:dyDescent="0.25">
      <c r="A112" s="303" t="s">
        <v>93</v>
      </c>
      <c r="B112" s="310" t="s">
        <v>87</v>
      </c>
      <c r="C112" s="310"/>
      <c r="D112" s="310"/>
      <c r="E112" s="303" t="s">
        <v>15</v>
      </c>
      <c r="F112" s="318">
        <v>3115303.21</v>
      </c>
      <c r="G112" s="303" t="s">
        <v>15</v>
      </c>
    </row>
    <row r="113" spans="1:7" ht="30" x14ac:dyDescent="0.25">
      <c r="A113" s="303" t="s">
        <v>94</v>
      </c>
      <c r="B113" s="310" t="s">
        <v>89</v>
      </c>
      <c r="C113" s="310"/>
      <c r="D113" s="310"/>
      <c r="E113" s="303" t="s">
        <v>15</v>
      </c>
      <c r="F113" s="318">
        <v>519631.52</v>
      </c>
      <c r="G113" s="303" t="s">
        <v>15</v>
      </c>
    </row>
    <row r="114" spans="1:7" ht="45" x14ac:dyDescent="0.25">
      <c r="A114" s="303" t="s">
        <v>95</v>
      </c>
      <c r="B114" s="310" t="s">
        <v>444</v>
      </c>
      <c r="C114" s="310"/>
      <c r="D114" s="310"/>
      <c r="E114" s="303" t="s">
        <v>15</v>
      </c>
      <c r="F114" s="318">
        <v>156824.28</v>
      </c>
      <c r="G114" s="303" t="s">
        <v>15</v>
      </c>
    </row>
    <row r="115" spans="1:7" x14ac:dyDescent="0.25">
      <c r="A115" s="444" t="s">
        <v>92</v>
      </c>
      <c r="B115" s="444"/>
      <c r="C115" s="444"/>
      <c r="D115" s="444"/>
      <c r="E115" s="444"/>
      <c r="F115" s="444"/>
      <c r="G115" s="444"/>
    </row>
    <row r="116" spans="1:7" x14ac:dyDescent="0.25">
      <c r="A116" s="4" t="s">
        <v>96</v>
      </c>
      <c r="B116" s="5" t="s">
        <v>55</v>
      </c>
      <c r="C116" s="5"/>
      <c r="D116" s="5"/>
      <c r="E116" s="4" t="s">
        <v>58</v>
      </c>
      <c r="F116" s="295">
        <v>0</v>
      </c>
      <c r="G116" s="4" t="s">
        <v>58</v>
      </c>
    </row>
    <row r="117" spans="1:7" x14ac:dyDescent="0.25">
      <c r="A117" s="4" t="s">
        <v>98</v>
      </c>
      <c r="B117" s="5" t="s">
        <v>57</v>
      </c>
      <c r="C117" s="5"/>
      <c r="D117" s="5"/>
      <c r="E117" s="4" t="s">
        <v>58</v>
      </c>
      <c r="F117" s="295">
        <v>0</v>
      </c>
      <c r="G117" s="4" t="s">
        <v>58</v>
      </c>
    </row>
    <row r="118" spans="1:7" ht="30" x14ac:dyDescent="0.25">
      <c r="A118" s="4" t="s">
        <v>100</v>
      </c>
      <c r="B118" s="5" t="s">
        <v>60</v>
      </c>
      <c r="C118" s="5"/>
      <c r="D118" s="5"/>
      <c r="E118" s="4" t="s">
        <v>58</v>
      </c>
      <c r="F118" s="295">
        <v>0</v>
      </c>
      <c r="G118" s="4" t="s">
        <v>58</v>
      </c>
    </row>
    <row r="119" spans="1:7" x14ac:dyDescent="0.25">
      <c r="A119" s="4" t="s">
        <v>102</v>
      </c>
      <c r="B119" s="5" t="s">
        <v>62</v>
      </c>
      <c r="C119" s="5"/>
      <c r="D119" s="5"/>
      <c r="E119" s="4" t="s">
        <v>15</v>
      </c>
      <c r="F119" s="295">
        <v>0</v>
      </c>
      <c r="G119" s="4" t="s">
        <v>15</v>
      </c>
    </row>
    <row r="120" spans="1:7" x14ac:dyDescent="0.25">
      <c r="A120" s="444" t="s">
        <v>97</v>
      </c>
      <c r="B120" s="444"/>
      <c r="C120" s="444"/>
      <c r="D120" s="444"/>
      <c r="E120" s="444"/>
      <c r="F120" s="444"/>
      <c r="G120" s="444"/>
    </row>
    <row r="121" spans="1:7" ht="30" x14ac:dyDescent="0.25">
      <c r="A121" s="4" t="s">
        <v>446</v>
      </c>
      <c r="B121" s="5" t="s">
        <v>99</v>
      </c>
      <c r="C121" s="5"/>
      <c r="D121" s="5"/>
      <c r="E121" s="4" t="s">
        <v>58</v>
      </c>
      <c r="F121" s="297"/>
      <c r="G121" s="4" t="s">
        <v>58</v>
      </c>
    </row>
    <row r="122" spans="1:7" x14ac:dyDescent="0.25">
      <c r="A122" s="4" t="s">
        <v>447</v>
      </c>
      <c r="B122" s="5" t="s">
        <v>101</v>
      </c>
      <c r="C122" s="5"/>
      <c r="D122" s="5"/>
      <c r="E122" s="4" t="s">
        <v>58</v>
      </c>
      <c r="F122" s="297"/>
      <c r="G122" s="4" t="s">
        <v>58</v>
      </c>
    </row>
    <row r="123" spans="1:7" ht="30" x14ac:dyDescent="0.25">
      <c r="A123" s="4" t="s">
        <v>448</v>
      </c>
      <c r="B123" s="5" t="s">
        <v>103</v>
      </c>
      <c r="C123" s="5"/>
      <c r="D123" s="5"/>
      <c r="E123" s="4" t="s">
        <v>15</v>
      </c>
      <c r="F123" s="295"/>
      <c r="G123" s="4" t="s">
        <v>15</v>
      </c>
    </row>
    <row r="124" spans="1:7" x14ac:dyDescent="0.25">
      <c r="B124" s="1"/>
      <c r="C124" s="1"/>
      <c r="D124" s="1"/>
      <c r="F124" s="1"/>
    </row>
    <row r="125" spans="1:7" x14ac:dyDescent="0.25">
      <c r="B125" s="1"/>
      <c r="C125" s="1"/>
      <c r="D125" s="1"/>
      <c r="F125" s="1"/>
    </row>
    <row r="126" spans="1:7" x14ac:dyDescent="0.25">
      <c r="B126" s="1"/>
      <c r="C126" s="1"/>
      <c r="D126" s="1"/>
      <c r="F126" s="1"/>
    </row>
    <row r="127" spans="1:7" x14ac:dyDescent="0.25">
      <c r="B127" s="1"/>
      <c r="C127" s="1"/>
      <c r="D127" s="1"/>
      <c r="F127" s="1"/>
    </row>
    <row r="128" spans="1:7" x14ac:dyDescent="0.25">
      <c r="B128" s="1"/>
      <c r="C128" s="1"/>
      <c r="D128" s="1"/>
      <c r="F128" s="1"/>
    </row>
    <row r="129" spans="2:6" x14ac:dyDescent="0.25">
      <c r="B129" s="1"/>
      <c r="C129" s="1"/>
      <c r="D129" s="1"/>
      <c r="F129" s="1"/>
    </row>
    <row r="130" spans="2:6" x14ac:dyDescent="0.25">
      <c r="B130" s="1"/>
      <c r="C130" s="1"/>
      <c r="D130" s="1"/>
      <c r="F130" s="1"/>
    </row>
    <row r="131" spans="2:6" x14ac:dyDescent="0.25">
      <c r="B131" s="1"/>
      <c r="C131" s="1"/>
      <c r="D131" s="1"/>
      <c r="F131" s="1"/>
    </row>
    <row r="132" spans="2:6" x14ac:dyDescent="0.25">
      <c r="B132" s="1"/>
      <c r="C132" s="1"/>
      <c r="D132" s="1"/>
      <c r="F132" s="1"/>
    </row>
    <row r="133" spans="2:6" x14ac:dyDescent="0.25">
      <c r="B133" s="1"/>
      <c r="C133" s="1"/>
      <c r="D133" s="1"/>
      <c r="F133" s="1"/>
    </row>
    <row r="134" spans="2:6" x14ac:dyDescent="0.25">
      <c r="B134" s="1"/>
      <c r="C134" s="1"/>
      <c r="D134" s="1"/>
      <c r="F134" s="1"/>
    </row>
    <row r="135" spans="2:6" x14ac:dyDescent="0.25">
      <c r="B135" s="1"/>
      <c r="C135" s="1"/>
      <c r="D135" s="1"/>
      <c r="F135" s="1"/>
    </row>
    <row r="136" spans="2:6" x14ac:dyDescent="0.25">
      <c r="B136" s="1"/>
      <c r="C136" s="1"/>
      <c r="D136" s="1"/>
      <c r="F136" s="1"/>
    </row>
    <row r="137" spans="2:6" x14ac:dyDescent="0.25">
      <c r="B137" s="1"/>
      <c r="C137" s="1"/>
      <c r="D137" s="1"/>
      <c r="F137" s="1"/>
    </row>
    <row r="138" spans="2:6" x14ac:dyDescent="0.25">
      <c r="B138" s="1"/>
      <c r="C138" s="1"/>
      <c r="D138" s="1"/>
      <c r="F138" s="1"/>
    </row>
    <row r="139" spans="2:6" x14ac:dyDescent="0.25">
      <c r="B139" s="1"/>
      <c r="C139" s="1"/>
      <c r="D139" s="1"/>
      <c r="F139" s="1"/>
    </row>
    <row r="140" spans="2:6" x14ac:dyDescent="0.25">
      <c r="B140" s="1"/>
      <c r="C140" s="1"/>
      <c r="D140" s="1"/>
      <c r="F140" s="1"/>
    </row>
    <row r="141" spans="2:6" x14ac:dyDescent="0.25">
      <c r="B141" s="1"/>
      <c r="C141" s="1"/>
      <c r="D141" s="1"/>
      <c r="F141" s="1"/>
    </row>
    <row r="142" spans="2:6" x14ac:dyDescent="0.25">
      <c r="B142" s="1"/>
      <c r="C142" s="1"/>
      <c r="D142" s="1"/>
      <c r="F142" s="1"/>
    </row>
    <row r="143" spans="2:6" x14ac:dyDescent="0.25">
      <c r="B143" s="1"/>
      <c r="C143" s="1"/>
      <c r="D143" s="1"/>
      <c r="F143" s="1"/>
    </row>
    <row r="144" spans="2:6" x14ac:dyDescent="0.25">
      <c r="B144" s="1"/>
      <c r="C144" s="1"/>
      <c r="D144" s="1"/>
      <c r="F144" s="1"/>
    </row>
    <row r="145" spans="2:6" x14ac:dyDescent="0.25">
      <c r="B145" s="1"/>
      <c r="C145" s="1"/>
      <c r="D145" s="1"/>
      <c r="F145" s="1"/>
    </row>
    <row r="146" spans="2:6" x14ac:dyDescent="0.25">
      <c r="B146" s="1"/>
      <c r="C146" s="1"/>
      <c r="D146" s="1"/>
      <c r="F146" s="1"/>
    </row>
    <row r="147" spans="2:6" x14ac:dyDescent="0.25">
      <c r="B147" s="1"/>
      <c r="C147" s="1"/>
      <c r="D147" s="1"/>
      <c r="F147" s="1"/>
    </row>
    <row r="148" spans="2:6" x14ac:dyDescent="0.25">
      <c r="B148" s="1"/>
      <c r="C148" s="1"/>
      <c r="D148" s="1"/>
      <c r="F148" s="1"/>
    </row>
    <row r="149" spans="2:6" x14ac:dyDescent="0.25">
      <c r="B149" s="1"/>
      <c r="C149" s="1"/>
      <c r="D149" s="1"/>
      <c r="F149" s="1"/>
    </row>
    <row r="150" spans="2:6" x14ac:dyDescent="0.25">
      <c r="B150" s="1"/>
      <c r="C150" s="1"/>
      <c r="D150" s="1"/>
      <c r="F150" s="1"/>
    </row>
    <row r="151" spans="2:6" x14ac:dyDescent="0.25">
      <c r="B151" s="1"/>
      <c r="C151" s="1"/>
      <c r="D151" s="1"/>
      <c r="F151" s="1"/>
    </row>
    <row r="152" spans="2:6" x14ac:dyDescent="0.25">
      <c r="B152" s="1"/>
      <c r="C152" s="1"/>
      <c r="D152" s="1"/>
      <c r="F152" s="1"/>
    </row>
    <row r="153" spans="2:6" x14ac:dyDescent="0.25">
      <c r="B153" s="1"/>
      <c r="C153" s="1"/>
      <c r="D153" s="1"/>
      <c r="F153" s="1"/>
    </row>
    <row r="154" spans="2:6" x14ac:dyDescent="0.25">
      <c r="B154" s="1"/>
      <c r="C154" s="1"/>
      <c r="D154" s="1"/>
      <c r="F154" s="1"/>
    </row>
    <row r="155" spans="2:6" x14ac:dyDescent="0.25">
      <c r="B155" s="1"/>
      <c r="C155" s="1"/>
      <c r="D155" s="1"/>
      <c r="F155" s="1"/>
    </row>
    <row r="156" spans="2:6" x14ac:dyDescent="0.25">
      <c r="B156" s="1"/>
      <c r="C156" s="1"/>
      <c r="D156" s="1"/>
      <c r="F156" s="1"/>
    </row>
    <row r="157" spans="2:6" x14ac:dyDescent="0.25">
      <c r="B157" s="1"/>
      <c r="C157" s="1"/>
      <c r="D157" s="1"/>
      <c r="F157" s="1"/>
    </row>
    <row r="158" spans="2:6" x14ac:dyDescent="0.25">
      <c r="B158" s="1"/>
      <c r="C158" s="1"/>
      <c r="D158" s="1"/>
      <c r="F158" s="1"/>
    </row>
    <row r="159" spans="2:6" x14ac:dyDescent="0.25">
      <c r="B159" s="1"/>
      <c r="C159" s="1"/>
      <c r="D159" s="1"/>
      <c r="F159" s="1"/>
    </row>
    <row r="160" spans="2:6" x14ac:dyDescent="0.25">
      <c r="B160" s="1"/>
      <c r="C160" s="1"/>
      <c r="D160" s="1"/>
      <c r="F160" s="1"/>
    </row>
    <row r="161" spans="2:6" x14ac:dyDescent="0.25">
      <c r="B161" s="1"/>
      <c r="C161" s="1"/>
      <c r="D161" s="1"/>
      <c r="F161" s="1"/>
    </row>
    <row r="162" spans="2:6" x14ac:dyDescent="0.25">
      <c r="B162" s="1"/>
      <c r="C162" s="1"/>
      <c r="D162" s="1"/>
      <c r="F162" s="1"/>
    </row>
  </sheetData>
  <mergeCells count="14">
    <mergeCell ref="C47:C49"/>
    <mergeCell ref="A1:G1"/>
    <mergeCell ref="A6:G6"/>
    <mergeCell ref="A24:G24"/>
    <mergeCell ref="C32:C35"/>
    <mergeCell ref="C39:C42"/>
    <mergeCell ref="A104:G104"/>
    <mergeCell ref="A115:G115"/>
    <mergeCell ref="A120:G120"/>
    <mergeCell ref="A59:G59"/>
    <mergeCell ref="A64:G64"/>
    <mergeCell ref="A71:G71"/>
    <mergeCell ref="A82:G82"/>
    <mergeCell ref="A93:G93"/>
  </mergeCells>
  <pageMargins left="0.31496062992125984" right="0.11811023622047245" top="0.74803149606299213" bottom="0.74803149606299213" header="0.31496062992125984" footer="0.31496062992125984"/>
  <pageSetup paperSize="9" scale="69" fitToHeight="4" orientation="portrait" r:id="rId1"/>
  <rowBreaks count="1" manualBreakCount="1">
    <brk id="6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73"/>
  <sheetViews>
    <sheetView view="pageBreakPreview" zoomScaleNormal="100" zoomScaleSheetLayoutView="100" workbookViewId="0">
      <selection activeCell="G1" sqref="G1:L1048576"/>
    </sheetView>
  </sheetViews>
  <sheetFormatPr defaultRowHeight="15" x14ac:dyDescent="0.25"/>
  <cols>
    <col min="1" max="1" width="3.85546875" customWidth="1"/>
    <col min="2" max="2" width="46.140625" customWidth="1"/>
    <col min="3" max="3" width="37" customWidth="1"/>
    <col min="4" max="4" width="14.5703125" customWidth="1"/>
    <col min="5" max="5" width="10.140625" customWidth="1"/>
    <col min="6" max="6" width="16.85546875" customWidth="1"/>
    <col min="7" max="12" width="0" hidden="1" customWidth="1"/>
  </cols>
  <sheetData>
    <row r="1" spans="1:6" ht="38.25" customHeight="1" x14ac:dyDescent="0.25">
      <c r="A1" s="470" t="s">
        <v>475</v>
      </c>
      <c r="B1" s="470"/>
      <c r="C1" s="470"/>
      <c r="D1" s="470"/>
      <c r="E1" s="470"/>
      <c r="F1" s="470"/>
    </row>
    <row r="2" spans="1:6" ht="45" x14ac:dyDescent="0.25">
      <c r="A2" s="301" t="s">
        <v>0</v>
      </c>
      <c r="B2" s="302" t="s">
        <v>1</v>
      </c>
      <c r="C2" s="302" t="s">
        <v>105</v>
      </c>
      <c r="D2" s="304" t="s">
        <v>433</v>
      </c>
      <c r="E2" s="302" t="s">
        <v>2</v>
      </c>
      <c r="F2" s="302" t="s">
        <v>3</v>
      </c>
    </row>
    <row r="3" spans="1:6" x14ac:dyDescent="0.25">
      <c r="A3" s="303" t="s">
        <v>4</v>
      </c>
      <c r="B3" s="304" t="s">
        <v>6</v>
      </c>
      <c r="C3" s="304" t="s">
        <v>468</v>
      </c>
      <c r="D3" s="304"/>
      <c r="E3" s="303" t="s">
        <v>5</v>
      </c>
      <c r="F3" s="306"/>
    </row>
    <row r="4" spans="1:6" x14ac:dyDescent="0.25">
      <c r="A4" s="307" t="s">
        <v>7</v>
      </c>
      <c r="B4" s="304" t="s">
        <v>21</v>
      </c>
      <c r="C4" s="304" t="s">
        <v>469</v>
      </c>
      <c r="D4" s="304"/>
      <c r="E4" s="303" t="s">
        <v>5</v>
      </c>
      <c r="F4" s="303"/>
    </row>
    <row r="5" spans="1:6" x14ac:dyDescent="0.25">
      <c r="A5" s="307" t="s">
        <v>8</v>
      </c>
      <c r="B5" s="304" t="s">
        <v>22</v>
      </c>
      <c r="C5" s="304" t="s">
        <v>470</v>
      </c>
      <c r="D5" s="304"/>
      <c r="E5" s="303" t="s">
        <v>5</v>
      </c>
      <c r="F5" s="303"/>
    </row>
    <row r="6" spans="1:6" ht="30.75" customHeight="1" x14ac:dyDescent="0.25">
      <c r="A6" s="462" t="s">
        <v>361</v>
      </c>
      <c r="B6" s="462"/>
      <c r="C6" s="462"/>
      <c r="D6" s="462"/>
      <c r="E6" s="462"/>
      <c r="F6" s="462"/>
    </row>
    <row r="7" spans="1:6" s="273" customFormat="1" ht="30.75" customHeight="1" x14ac:dyDescent="0.25">
      <c r="A7" s="308" t="s">
        <v>9</v>
      </c>
      <c r="B7" s="308" t="s">
        <v>370</v>
      </c>
      <c r="C7" s="308"/>
      <c r="D7" s="308"/>
      <c r="E7" s="308"/>
      <c r="F7" s="321">
        <v>0</v>
      </c>
    </row>
    <row r="8" spans="1:6" ht="30" x14ac:dyDescent="0.25">
      <c r="A8" s="303" t="s">
        <v>375</v>
      </c>
      <c r="B8" s="310" t="s">
        <v>43</v>
      </c>
      <c r="C8" s="310"/>
      <c r="D8" s="310"/>
      <c r="E8" s="303" t="s">
        <v>15</v>
      </c>
      <c r="F8" s="320">
        <v>0</v>
      </c>
    </row>
    <row r="9" spans="1:6" ht="30" x14ac:dyDescent="0.25">
      <c r="A9" s="303" t="s">
        <v>11</v>
      </c>
      <c r="B9" s="310" t="s">
        <v>374</v>
      </c>
      <c r="C9" s="310"/>
      <c r="D9" s="310"/>
      <c r="E9" s="303" t="s">
        <v>15</v>
      </c>
      <c r="F9" s="311">
        <v>904517.84</v>
      </c>
    </row>
    <row r="10" spans="1:6" ht="33.75" customHeight="1" x14ac:dyDescent="0.25">
      <c r="A10" s="303" t="s">
        <v>12</v>
      </c>
      <c r="B10" s="310" t="s">
        <v>25</v>
      </c>
      <c r="C10" s="310"/>
      <c r="D10" s="310">
        <v>39.33</v>
      </c>
      <c r="E10" s="303" t="s">
        <v>15</v>
      </c>
      <c r="F10" s="326">
        <f>F26</f>
        <v>4646210.22</v>
      </c>
    </row>
    <row r="11" spans="1:6" x14ac:dyDescent="0.25">
      <c r="A11" s="303" t="s">
        <v>13</v>
      </c>
      <c r="B11" s="310" t="s">
        <v>26</v>
      </c>
      <c r="C11" s="310"/>
      <c r="D11" s="310"/>
      <c r="E11" s="303" t="s">
        <v>15</v>
      </c>
      <c r="F11" s="311"/>
    </row>
    <row r="12" spans="1:6" x14ac:dyDescent="0.25">
      <c r="A12" s="303" t="s">
        <v>17</v>
      </c>
      <c r="B12" s="310" t="s">
        <v>27</v>
      </c>
      <c r="C12" s="310"/>
      <c r="D12" s="310"/>
      <c r="E12" s="303" t="s">
        <v>15</v>
      </c>
      <c r="F12" s="311"/>
    </row>
    <row r="13" spans="1:6" x14ac:dyDescent="0.25">
      <c r="A13" s="303" t="s">
        <v>18</v>
      </c>
      <c r="B13" s="310" t="s">
        <v>28</v>
      </c>
      <c r="C13" s="310"/>
      <c r="D13" s="310">
        <v>3.41</v>
      </c>
      <c r="E13" s="303" t="s">
        <v>15</v>
      </c>
      <c r="F13" s="311">
        <f>D13*H32*H33</f>
        <v>402836.94000000006</v>
      </c>
    </row>
    <row r="14" spans="1:6" x14ac:dyDescent="0.25">
      <c r="A14" s="303" t="s">
        <v>19</v>
      </c>
      <c r="B14" s="310" t="s">
        <v>29</v>
      </c>
      <c r="C14" s="310"/>
      <c r="D14" s="310"/>
      <c r="E14" s="303" t="s">
        <v>15</v>
      </c>
      <c r="F14" s="326"/>
    </row>
    <row r="15" spans="1:6" x14ac:dyDescent="0.25">
      <c r="A15" s="303" t="s">
        <v>20</v>
      </c>
      <c r="B15" s="310" t="s">
        <v>30</v>
      </c>
      <c r="C15" s="310"/>
      <c r="D15" s="310"/>
      <c r="E15" s="303" t="s">
        <v>15</v>
      </c>
      <c r="F15" s="311">
        <v>4884697.76</v>
      </c>
    </row>
    <row r="16" spans="1:6" x14ac:dyDescent="0.25">
      <c r="A16" s="303" t="s">
        <v>31</v>
      </c>
      <c r="B16" s="310" t="s">
        <v>32</v>
      </c>
      <c r="C16" s="310"/>
      <c r="D16" s="310"/>
      <c r="E16" s="303" t="s">
        <v>15</v>
      </c>
      <c r="F16" s="311">
        <v>0</v>
      </c>
    </row>
    <row r="17" spans="1:8" x14ac:dyDescent="0.25">
      <c r="A17" s="303" t="s">
        <v>33</v>
      </c>
      <c r="B17" s="310" t="s">
        <v>34</v>
      </c>
      <c r="C17" s="310"/>
      <c r="D17" s="310"/>
      <c r="E17" s="303" t="s">
        <v>15</v>
      </c>
      <c r="F17" s="311">
        <v>0</v>
      </c>
    </row>
    <row r="18" spans="1:8" ht="30" x14ac:dyDescent="0.25">
      <c r="A18" s="303" t="s">
        <v>35</v>
      </c>
      <c r="B18" s="310" t="s">
        <v>36</v>
      </c>
      <c r="C18" s="310"/>
      <c r="D18" s="310"/>
      <c r="E18" s="303" t="s">
        <v>15</v>
      </c>
      <c r="F18" s="311">
        <v>0</v>
      </c>
    </row>
    <row r="19" spans="1:8" x14ac:dyDescent="0.25">
      <c r="A19" s="303" t="s">
        <v>38</v>
      </c>
      <c r="B19" s="310" t="s">
        <v>37</v>
      </c>
      <c r="C19" s="310"/>
      <c r="D19" s="310"/>
      <c r="E19" s="303" t="s">
        <v>15</v>
      </c>
      <c r="F19" s="311">
        <v>0</v>
      </c>
    </row>
    <row r="20" spans="1:8" x14ac:dyDescent="0.25">
      <c r="A20" s="303" t="s">
        <v>39</v>
      </c>
      <c r="B20" s="310" t="s">
        <v>40</v>
      </c>
      <c r="C20" s="310"/>
      <c r="D20" s="310"/>
      <c r="E20" s="303" t="s">
        <v>15</v>
      </c>
      <c r="F20" s="311">
        <f>F15</f>
        <v>4884697.76</v>
      </c>
    </row>
    <row r="21" spans="1:8" ht="30" x14ac:dyDescent="0.25">
      <c r="A21" s="303" t="s">
        <v>41</v>
      </c>
      <c r="B21" s="310" t="s">
        <v>381</v>
      </c>
      <c r="C21" s="310"/>
      <c r="D21" s="310"/>
      <c r="E21" s="303" t="s">
        <v>383</v>
      </c>
      <c r="F21" s="311">
        <v>0</v>
      </c>
    </row>
    <row r="22" spans="1:8" ht="30" x14ac:dyDescent="0.25">
      <c r="A22" s="303" t="s">
        <v>44</v>
      </c>
      <c r="B22" s="310" t="s">
        <v>42</v>
      </c>
      <c r="C22" s="310"/>
      <c r="D22" s="310"/>
      <c r="E22" s="303" t="s">
        <v>15</v>
      </c>
      <c r="F22" s="311">
        <v>0</v>
      </c>
    </row>
    <row r="23" spans="1:8" ht="30" x14ac:dyDescent="0.25">
      <c r="A23" s="303" t="s">
        <v>45</v>
      </c>
      <c r="B23" s="310" t="s">
        <v>382</v>
      </c>
      <c r="C23" s="310"/>
      <c r="D23" s="310"/>
      <c r="E23" s="303" t="s">
        <v>15</v>
      </c>
      <c r="F23" s="311">
        <f>F9+F10-F15</f>
        <v>666030.29999999981</v>
      </c>
    </row>
    <row r="24" spans="1:8" ht="44.25" customHeight="1" x14ac:dyDescent="0.25">
      <c r="A24" s="472" t="s">
        <v>46</v>
      </c>
      <c r="B24" s="472"/>
      <c r="C24" s="472"/>
      <c r="D24" s="472"/>
      <c r="E24" s="472"/>
      <c r="F24" s="472"/>
    </row>
    <row r="25" spans="1:8" x14ac:dyDescent="0.25">
      <c r="A25" s="332" t="s">
        <v>47</v>
      </c>
      <c r="B25" s="310" t="s">
        <v>48</v>
      </c>
      <c r="C25" s="310"/>
      <c r="D25" s="310"/>
      <c r="E25" s="303" t="s">
        <v>5</v>
      </c>
      <c r="F25" s="303"/>
    </row>
    <row r="26" spans="1:8" x14ac:dyDescent="0.25">
      <c r="A26" s="332" t="s">
        <v>49</v>
      </c>
      <c r="B26" s="310" t="s">
        <v>387</v>
      </c>
      <c r="C26" s="310"/>
      <c r="D26" s="310">
        <v>39.33</v>
      </c>
      <c r="E26" s="303" t="s">
        <v>5</v>
      </c>
      <c r="F26" s="312">
        <f>SUM(F32:F42,F47:F58)</f>
        <v>4646210.22</v>
      </c>
    </row>
    <row r="27" spans="1:8" hidden="1" x14ac:dyDescent="0.25">
      <c r="A27" s="332" t="s">
        <v>51</v>
      </c>
      <c r="B27" s="310" t="s">
        <v>48</v>
      </c>
      <c r="C27" s="310"/>
      <c r="D27" s="310"/>
      <c r="E27" s="303" t="s">
        <v>5</v>
      </c>
      <c r="F27" s="303"/>
    </row>
    <row r="28" spans="1:8" ht="30" hidden="1" x14ac:dyDescent="0.25">
      <c r="A28" s="332" t="s">
        <v>54</v>
      </c>
      <c r="B28" s="310" t="s">
        <v>415</v>
      </c>
      <c r="C28" s="310"/>
      <c r="D28" s="310"/>
      <c r="E28" s="303"/>
      <c r="F28" s="303"/>
    </row>
    <row r="29" spans="1:8" hidden="1" x14ac:dyDescent="0.25">
      <c r="A29" s="332" t="s">
        <v>56</v>
      </c>
      <c r="B29" s="310" t="s">
        <v>416</v>
      </c>
      <c r="C29" s="310"/>
      <c r="D29" s="310"/>
      <c r="E29" s="303"/>
      <c r="F29" s="303"/>
    </row>
    <row r="30" spans="1:8" hidden="1" x14ac:dyDescent="0.25">
      <c r="A30" s="332" t="s">
        <v>59</v>
      </c>
      <c r="B30" s="310" t="s">
        <v>417</v>
      </c>
      <c r="C30" s="310"/>
      <c r="D30" s="310"/>
      <c r="E30" s="303"/>
      <c r="F30" s="303"/>
    </row>
    <row r="31" spans="1:8" ht="30" hidden="1" x14ac:dyDescent="0.25">
      <c r="A31" s="303"/>
      <c r="B31" s="304" t="s">
        <v>429</v>
      </c>
      <c r="C31" s="304" t="s">
        <v>430</v>
      </c>
      <c r="D31" s="304" t="s">
        <v>433</v>
      </c>
      <c r="E31" s="303"/>
      <c r="F31" s="303"/>
    </row>
    <row r="32" spans="1:8" ht="26.25" x14ac:dyDescent="0.25">
      <c r="A32" s="332"/>
      <c r="B32" s="338" t="s">
        <v>388</v>
      </c>
      <c r="C32" s="468" t="s">
        <v>419</v>
      </c>
      <c r="D32" s="317">
        <v>5.5</v>
      </c>
      <c r="E32" s="303" t="s">
        <v>15</v>
      </c>
      <c r="F32" s="339">
        <f>D32*$H$32*H$33</f>
        <v>649737</v>
      </c>
      <c r="H32">
        <f>9844.5</f>
        <v>9844.5</v>
      </c>
    </row>
    <row r="33" spans="1:8" x14ac:dyDescent="0.25">
      <c r="A33" s="332"/>
      <c r="B33" s="338" t="s">
        <v>389</v>
      </c>
      <c r="C33" s="468"/>
      <c r="D33" s="317"/>
      <c r="E33" s="303" t="s">
        <v>15</v>
      </c>
      <c r="F33" s="339">
        <f t="shared" ref="F33:F57" si="0">D33*$H$32*H$33</f>
        <v>0</v>
      </c>
      <c r="H33">
        <v>12</v>
      </c>
    </row>
    <row r="34" spans="1:8" ht="30" customHeight="1" x14ac:dyDescent="0.25">
      <c r="A34" s="332"/>
      <c r="B34" s="310" t="s">
        <v>390</v>
      </c>
      <c r="C34" s="468"/>
      <c r="D34" s="317">
        <v>1.58</v>
      </c>
      <c r="E34" s="303" t="s">
        <v>15</v>
      </c>
      <c r="F34" s="339">
        <f t="shared" si="0"/>
        <v>186651.72000000003</v>
      </c>
    </row>
    <row r="35" spans="1:8" x14ac:dyDescent="0.25">
      <c r="A35" s="332"/>
      <c r="B35" s="310" t="s">
        <v>391</v>
      </c>
      <c r="C35" s="468"/>
      <c r="D35" s="317">
        <v>0.28000000000000003</v>
      </c>
      <c r="E35" s="303" t="s">
        <v>15</v>
      </c>
      <c r="F35" s="339">
        <f t="shared" si="0"/>
        <v>33077.520000000004</v>
      </c>
    </row>
    <row r="36" spans="1:8" x14ac:dyDescent="0.25">
      <c r="A36" s="332"/>
      <c r="B36" s="310" t="s">
        <v>392</v>
      </c>
      <c r="C36" s="310" t="s">
        <v>418</v>
      </c>
      <c r="D36" s="317"/>
      <c r="E36" s="303" t="s">
        <v>15</v>
      </c>
      <c r="F36" s="339">
        <f t="shared" si="0"/>
        <v>0</v>
      </c>
    </row>
    <row r="37" spans="1:8" ht="45" x14ac:dyDescent="0.25">
      <c r="A37" s="332"/>
      <c r="B37" s="310" t="s">
        <v>393</v>
      </c>
      <c r="C37" s="310" t="s">
        <v>424</v>
      </c>
      <c r="D37" s="317">
        <v>0.17</v>
      </c>
      <c r="E37" s="303" t="s">
        <v>15</v>
      </c>
      <c r="F37" s="339">
        <f t="shared" si="0"/>
        <v>20082.78</v>
      </c>
    </row>
    <row r="38" spans="1:8" ht="30" x14ac:dyDescent="0.25">
      <c r="A38" s="332"/>
      <c r="B38" s="310" t="s">
        <v>394</v>
      </c>
      <c r="C38" s="310" t="s">
        <v>425</v>
      </c>
      <c r="D38" s="317"/>
      <c r="E38" s="303" t="s">
        <v>15</v>
      </c>
      <c r="F38" s="339">
        <f t="shared" si="0"/>
        <v>0</v>
      </c>
    </row>
    <row r="39" spans="1:8" ht="26.25" x14ac:dyDescent="0.25">
      <c r="A39" s="332"/>
      <c r="B39" s="338" t="s">
        <v>395</v>
      </c>
      <c r="C39" s="468" t="s">
        <v>426</v>
      </c>
      <c r="D39" s="317">
        <v>2.2999999999999998</v>
      </c>
      <c r="E39" s="303" t="s">
        <v>15</v>
      </c>
      <c r="F39" s="339">
        <f t="shared" si="0"/>
        <v>271708.19999999995</v>
      </c>
    </row>
    <row r="40" spans="1:8" ht="30" x14ac:dyDescent="0.25">
      <c r="A40" s="332"/>
      <c r="B40" s="310" t="s">
        <v>396</v>
      </c>
      <c r="C40" s="468"/>
      <c r="D40" s="317">
        <v>1.36</v>
      </c>
      <c r="E40" s="303" t="s">
        <v>15</v>
      </c>
      <c r="F40" s="339">
        <f t="shared" si="0"/>
        <v>160662.24</v>
      </c>
    </row>
    <row r="41" spans="1:8" ht="26.25" x14ac:dyDescent="0.25">
      <c r="A41" s="332"/>
      <c r="B41" s="338" t="s">
        <v>397</v>
      </c>
      <c r="C41" s="468"/>
      <c r="D41" s="317">
        <v>0.82</v>
      </c>
      <c r="E41" s="303" t="s">
        <v>15</v>
      </c>
      <c r="F41" s="339">
        <f t="shared" si="0"/>
        <v>96869.88</v>
      </c>
    </row>
    <row r="42" spans="1:8" ht="26.25" x14ac:dyDescent="0.25">
      <c r="A42" s="332"/>
      <c r="B42" s="359" t="s">
        <v>398</v>
      </c>
      <c r="C42" s="468"/>
      <c r="D42" s="317">
        <f>SUM(D43:D46)</f>
        <v>3.5999999999999996</v>
      </c>
      <c r="E42" s="303" t="s">
        <v>15</v>
      </c>
      <c r="F42" s="339">
        <f>SUM(F43:F46)</f>
        <v>425282.40000000008</v>
      </c>
    </row>
    <row r="43" spans="1:8" x14ac:dyDescent="0.25">
      <c r="A43" s="332"/>
      <c r="B43" s="338" t="s">
        <v>399</v>
      </c>
      <c r="C43" s="310"/>
      <c r="D43" s="317">
        <v>0.52</v>
      </c>
      <c r="E43" s="303" t="s">
        <v>15</v>
      </c>
      <c r="F43" s="339">
        <f t="shared" si="0"/>
        <v>61429.680000000008</v>
      </c>
    </row>
    <row r="44" spans="1:8" x14ac:dyDescent="0.25">
      <c r="A44" s="332"/>
      <c r="B44" s="338" t="s">
        <v>400</v>
      </c>
      <c r="C44" s="310"/>
      <c r="D44" s="317">
        <v>1.54</v>
      </c>
      <c r="E44" s="303" t="s">
        <v>15</v>
      </c>
      <c r="F44" s="339">
        <f t="shared" si="0"/>
        <v>181926.36000000002</v>
      </c>
    </row>
    <row r="45" spans="1:8" x14ac:dyDescent="0.25">
      <c r="A45" s="332"/>
      <c r="B45" s="338" t="s">
        <v>401</v>
      </c>
      <c r="C45" s="310"/>
      <c r="D45" s="317">
        <v>1.49</v>
      </c>
      <c r="E45" s="303" t="s">
        <v>15</v>
      </c>
      <c r="F45" s="339">
        <f t="shared" si="0"/>
        <v>176019.66</v>
      </c>
    </row>
    <row r="46" spans="1:8" ht="31.5" customHeight="1" x14ac:dyDescent="0.25">
      <c r="A46" s="332"/>
      <c r="B46" s="338" t="s">
        <v>402</v>
      </c>
      <c r="C46" s="310"/>
      <c r="D46" s="317">
        <v>0.05</v>
      </c>
      <c r="E46" s="303" t="s">
        <v>15</v>
      </c>
      <c r="F46" s="339">
        <f t="shared" si="0"/>
        <v>5906.7000000000007</v>
      </c>
    </row>
    <row r="47" spans="1:8" ht="31.5" customHeight="1" x14ac:dyDescent="0.25">
      <c r="A47" s="332"/>
      <c r="B47" s="338" t="s">
        <v>403</v>
      </c>
      <c r="C47" s="468" t="s">
        <v>427</v>
      </c>
      <c r="D47" s="317">
        <v>1.1000000000000001</v>
      </c>
      <c r="E47" s="303" t="s">
        <v>15</v>
      </c>
      <c r="F47" s="339">
        <f t="shared" si="0"/>
        <v>129947.40000000001</v>
      </c>
    </row>
    <row r="48" spans="1:8" ht="27" customHeight="1" x14ac:dyDescent="0.25">
      <c r="A48" s="332"/>
      <c r="B48" s="310" t="s">
        <v>404</v>
      </c>
      <c r="C48" s="468"/>
      <c r="D48" s="317">
        <v>1.61</v>
      </c>
      <c r="E48" s="303" t="s">
        <v>15</v>
      </c>
      <c r="F48" s="339">
        <f t="shared" si="0"/>
        <v>190195.74</v>
      </c>
    </row>
    <row r="49" spans="1:6" ht="29.25" customHeight="1" x14ac:dyDescent="0.25">
      <c r="A49" s="332"/>
      <c r="B49" s="310" t="s">
        <v>405</v>
      </c>
      <c r="C49" s="468"/>
      <c r="D49" s="317">
        <v>0.66</v>
      </c>
      <c r="E49" s="303" t="s">
        <v>15</v>
      </c>
      <c r="F49" s="339">
        <f t="shared" si="0"/>
        <v>77968.44</v>
      </c>
    </row>
    <row r="50" spans="1:6" ht="30.75" customHeight="1" x14ac:dyDescent="0.25">
      <c r="A50" s="332"/>
      <c r="B50" s="338" t="s">
        <v>406</v>
      </c>
      <c r="C50" s="310" t="s">
        <v>428</v>
      </c>
      <c r="D50" s="317"/>
      <c r="E50" s="303" t="s">
        <v>15</v>
      </c>
      <c r="F50" s="339">
        <f t="shared" si="0"/>
        <v>0</v>
      </c>
    </row>
    <row r="51" spans="1:6" ht="30" x14ac:dyDescent="0.25">
      <c r="A51" s="332"/>
      <c r="B51" s="310" t="s">
        <v>407</v>
      </c>
      <c r="C51" s="310" t="s">
        <v>422</v>
      </c>
      <c r="D51" s="317">
        <v>8.11</v>
      </c>
      <c r="E51" s="303" t="s">
        <v>15</v>
      </c>
      <c r="F51" s="339">
        <f t="shared" si="0"/>
        <v>958066.73999999987</v>
      </c>
    </row>
    <row r="52" spans="1:6" x14ac:dyDescent="0.25">
      <c r="A52" s="332"/>
      <c r="B52" s="338" t="s">
        <v>408</v>
      </c>
      <c r="C52" s="310" t="s">
        <v>422</v>
      </c>
      <c r="D52" s="317">
        <v>4.45</v>
      </c>
      <c r="E52" s="303" t="s">
        <v>15</v>
      </c>
      <c r="F52" s="339">
        <f t="shared" si="0"/>
        <v>525696.30000000005</v>
      </c>
    </row>
    <row r="53" spans="1:6" ht="26.25" x14ac:dyDescent="0.25">
      <c r="A53" s="332"/>
      <c r="B53" s="338" t="s">
        <v>409</v>
      </c>
      <c r="C53" s="310" t="s">
        <v>422</v>
      </c>
      <c r="D53" s="317">
        <v>2.4700000000000002</v>
      </c>
      <c r="E53" s="303" t="s">
        <v>15</v>
      </c>
      <c r="F53" s="339">
        <f t="shared" si="0"/>
        <v>291790.98</v>
      </c>
    </row>
    <row r="54" spans="1:6" ht="51" x14ac:dyDescent="0.25">
      <c r="A54" s="332"/>
      <c r="B54" s="360" t="s">
        <v>410</v>
      </c>
      <c r="C54" s="310" t="s">
        <v>422</v>
      </c>
      <c r="D54" s="317">
        <v>0.44</v>
      </c>
      <c r="E54" s="303" t="s">
        <v>15</v>
      </c>
      <c r="F54" s="339">
        <f t="shared" si="0"/>
        <v>51978.96</v>
      </c>
    </row>
    <row r="55" spans="1:6" ht="26.25" x14ac:dyDescent="0.25">
      <c r="A55" s="332"/>
      <c r="B55" s="338" t="s">
        <v>411</v>
      </c>
      <c r="C55" s="310" t="s">
        <v>422</v>
      </c>
      <c r="D55" s="317"/>
      <c r="E55" s="303" t="s">
        <v>15</v>
      </c>
      <c r="F55" s="339">
        <f>D55*$H$32*6</f>
        <v>0</v>
      </c>
    </row>
    <row r="56" spans="1:6" ht="39" x14ac:dyDescent="0.25">
      <c r="A56" s="332"/>
      <c r="B56" s="361" t="s">
        <v>412</v>
      </c>
      <c r="C56" s="310" t="s">
        <v>428</v>
      </c>
      <c r="D56" s="317">
        <v>0.19</v>
      </c>
      <c r="E56" s="303" t="s">
        <v>15</v>
      </c>
      <c r="F56" s="339">
        <f t="shared" si="0"/>
        <v>22445.46</v>
      </c>
    </row>
    <row r="57" spans="1:6" ht="26.25" x14ac:dyDescent="0.25">
      <c r="A57" s="332"/>
      <c r="B57" s="338" t="s">
        <v>413</v>
      </c>
      <c r="C57" s="310" t="s">
        <v>423</v>
      </c>
      <c r="D57" s="317">
        <v>1.28</v>
      </c>
      <c r="E57" s="303" t="s">
        <v>15</v>
      </c>
      <c r="F57" s="339">
        <f t="shared" si="0"/>
        <v>151211.52000000002</v>
      </c>
    </row>
    <row r="58" spans="1:6" ht="27" thickBot="1" x14ac:dyDescent="0.3">
      <c r="A58" s="351"/>
      <c r="B58" s="362" t="s">
        <v>414</v>
      </c>
      <c r="C58" s="353" t="s">
        <v>418</v>
      </c>
      <c r="D58" s="354">
        <v>3.41</v>
      </c>
      <c r="E58" s="355" t="s">
        <v>15</v>
      </c>
      <c r="F58" s="339">
        <f>D58*$H$32*H$33</f>
        <v>402836.94000000006</v>
      </c>
    </row>
    <row r="59" spans="1:6" x14ac:dyDescent="0.25">
      <c r="A59" s="453" t="s">
        <v>53</v>
      </c>
      <c r="B59" s="453"/>
      <c r="C59" s="453"/>
      <c r="D59" s="453"/>
      <c r="E59" s="453"/>
      <c r="F59" s="453"/>
    </row>
    <row r="60" spans="1:6" x14ac:dyDescent="0.25">
      <c r="A60" s="303" t="s">
        <v>61</v>
      </c>
      <c r="B60" s="310" t="s">
        <v>55</v>
      </c>
      <c r="C60" s="310"/>
      <c r="D60" s="310"/>
      <c r="E60" s="303" t="s">
        <v>58</v>
      </c>
      <c r="F60" s="320">
        <v>0</v>
      </c>
    </row>
    <row r="61" spans="1:6" x14ac:dyDescent="0.25">
      <c r="A61" s="303" t="s">
        <v>64</v>
      </c>
      <c r="B61" s="310" t="s">
        <v>57</v>
      </c>
      <c r="C61" s="310"/>
      <c r="D61" s="310"/>
      <c r="E61" s="303" t="s">
        <v>58</v>
      </c>
      <c r="F61" s="320">
        <v>0</v>
      </c>
    </row>
    <row r="62" spans="1:6" ht="30" x14ac:dyDescent="0.25">
      <c r="A62" s="303" t="s">
        <v>65</v>
      </c>
      <c r="B62" s="310" t="s">
        <v>60</v>
      </c>
      <c r="C62" s="310"/>
      <c r="D62" s="310"/>
      <c r="E62" s="303" t="s">
        <v>58</v>
      </c>
      <c r="F62" s="320">
        <v>0</v>
      </c>
    </row>
    <row r="63" spans="1:6" x14ac:dyDescent="0.25">
      <c r="A63" s="303" t="s">
        <v>67</v>
      </c>
      <c r="B63" s="310" t="s">
        <v>62</v>
      </c>
      <c r="C63" s="310"/>
      <c r="D63" s="310"/>
      <c r="E63" s="303" t="s">
        <v>15</v>
      </c>
      <c r="F63" s="320">
        <v>0</v>
      </c>
    </row>
    <row r="64" spans="1:6" x14ac:dyDescent="0.25">
      <c r="A64" s="453" t="s">
        <v>356</v>
      </c>
      <c r="B64" s="453"/>
      <c r="C64" s="453"/>
      <c r="D64" s="453"/>
      <c r="E64" s="453"/>
      <c r="F64" s="453"/>
    </row>
    <row r="65" spans="1:6" ht="30" x14ac:dyDescent="0.25">
      <c r="A65" s="303" t="s">
        <v>68</v>
      </c>
      <c r="B65" s="310" t="s">
        <v>439</v>
      </c>
      <c r="C65" s="310"/>
      <c r="D65" s="310"/>
      <c r="E65" s="303" t="s">
        <v>15</v>
      </c>
      <c r="F65" s="320">
        <v>0</v>
      </c>
    </row>
    <row r="66" spans="1:6" ht="30" x14ac:dyDescent="0.25">
      <c r="A66" s="303" t="s">
        <v>70</v>
      </c>
      <c r="B66" s="310" t="s">
        <v>371</v>
      </c>
      <c r="C66" s="310"/>
      <c r="D66" s="310"/>
      <c r="E66" s="303" t="s">
        <v>15</v>
      </c>
      <c r="F66" s="320">
        <v>0</v>
      </c>
    </row>
    <row r="67" spans="1:6" ht="30" x14ac:dyDescent="0.25">
      <c r="A67" s="303" t="s">
        <v>71</v>
      </c>
      <c r="B67" s="310" t="s">
        <v>440</v>
      </c>
      <c r="C67" s="310"/>
      <c r="D67" s="310"/>
      <c r="E67" s="303" t="s">
        <v>15</v>
      </c>
      <c r="F67" s="331">
        <v>836722.77</v>
      </c>
    </row>
    <row r="68" spans="1:6" ht="30" x14ac:dyDescent="0.25">
      <c r="A68" s="303" t="s">
        <v>73</v>
      </c>
      <c r="B68" s="310" t="s">
        <v>381</v>
      </c>
      <c r="C68" s="310"/>
      <c r="D68" s="310"/>
      <c r="E68" s="303" t="s">
        <v>15</v>
      </c>
      <c r="F68" s="320"/>
    </row>
    <row r="69" spans="1:6" ht="30" x14ac:dyDescent="0.25">
      <c r="A69" s="303" t="s">
        <v>74</v>
      </c>
      <c r="B69" s="310" t="s">
        <v>441</v>
      </c>
      <c r="C69" s="310"/>
      <c r="D69" s="310"/>
      <c r="E69" s="303" t="s">
        <v>15</v>
      </c>
      <c r="F69" s="320"/>
    </row>
    <row r="70" spans="1:6" ht="30" x14ac:dyDescent="0.25">
      <c r="A70" s="303" t="s">
        <v>75</v>
      </c>
      <c r="B70" s="310" t="s">
        <v>442</v>
      </c>
      <c r="C70" s="310"/>
      <c r="D70" s="310"/>
      <c r="E70" s="303" t="s">
        <v>15</v>
      </c>
      <c r="F70" s="331">
        <f>F77+F88+F99+F110+F121+F67</f>
        <v>758411.95000000007</v>
      </c>
    </row>
    <row r="71" spans="1:6" x14ac:dyDescent="0.25">
      <c r="A71" s="456" t="s">
        <v>351</v>
      </c>
      <c r="B71" s="456"/>
      <c r="C71" s="456"/>
      <c r="D71" s="456"/>
      <c r="E71" s="456"/>
      <c r="F71" s="456"/>
    </row>
    <row r="72" spans="1:6" x14ac:dyDescent="0.25">
      <c r="A72" s="373" t="s">
        <v>78</v>
      </c>
      <c r="B72" s="374" t="s">
        <v>16</v>
      </c>
      <c r="C72" s="374"/>
      <c r="D72" s="374"/>
      <c r="E72" s="373" t="s">
        <v>5</v>
      </c>
      <c r="F72" s="375" t="s">
        <v>315</v>
      </c>
    </row>
    <row r="73" spans="1:6" x14ac:dyDescent="0.25">
      <c r="A73" s="373" t="s">
        <v>80</v>
      </c>
      <c r="B73" s="374" t="s">
        <v>14</v>
      </c>
      <c r="C73" s="374"/>
      <c r="D73" s="374"/>
      <c r="E73" s="373" t="s">
        <v>5</v>
      </c>
      <c r="F73" s="375" t="s">
        <v>316</v>
      </c>
    </row>
    <row r="74" spans="1:6" x14ac:dyDescent="0.25">
      <c r="A74" s="373" t="s">
        <v>82</v>
      </c>
      <c r="B74" s="374" t="s">
        <v>76</v>
      </c>
      <c r="C74" s="374"/>
      <c r="D74" s="374"/>
      <c r="E74" s="373" t="s">
        <v>77</v>
      </c>
      <c r="F74" s="376">
        <v>433883</v>
      </c>
    </row>
    <row r="75" spans="1:6" x14ac:dyDescent="0.25">
      <c r="A75" s="373" t="s">
        <v>84</v>
      </c>
      <c r="B75" s="374" t="s">
        <v>79</v>
      </c>
      <c r="C75" s="374"/>
      <c r="D75" s="374"/>
      <c r="E75" s="373" t="s">
        <v>15</v>
      </c>
      <c r="F75" s="376">
        <v>867766.77</v>
      </c>
    </row>
    <row r="76" spans="1:6" x14ac:dyDescent="0.25">
      <c r="A76" s="373" t="s">
        <v>86</v>
      </c>
      <c r="B76" s="374" t="s">
        <v>81</v>
      </c>
      <c r="C76" s="374"/>
      <c r="D76" s="374"/>
      <c r="E76" s="373" t="s">
        <v>15</v>
      </c>
      <c r="F76" s="376">
        <v>862798.5</v>
      </c>
    </row>
    <row r="77" spans="1:6" x14ac:dyDescent="0.25">
      <c r="A77" s="373" t="s">
        <v>88</v>
      </c>
      <c r="B77" s="374" t="s">
        <v>83</v>
      </c>
      <c r="C77" s="374"/>
      <c r="D77" s="374"/>
      <c r="E77" s="373" t="s">
        <v>15</v>
      </c>
      <c r="F77" s="376">
        <f>F75-F76</f>
        <v>4968.2700000000186</v>
      </c>
    </row>
    <row r="78" spans="1:6" ht="30" x14ac:dyDescent="0.25">
      <c r="A78" s="373" t="s">
        <v>90</v>
      </c>
      <c r="B78" s="374" t="s">
        <v>85</v>
      </c>
      <c r="C78" s="374"/>
      <c r="D78" s="374"/>
      <c r="E78" s="373" t="s">
        <v>15</v>
      </c>
      <c r="F78" s="376">
        <v>863523.77</v>
      </c>
    </row>
    <row r="79" spans="1:6" ht="30" x14ac:dyDescent="0.25">
      <c r="A79" s="373" t="s">
        <v>93</v>
      </c>
      <c r="B79" s="374" t="s">
        <v>87</v>
      </c>
      <c r="C79" s="374"/>
      <c r="D79" s="374"/>
      <c r="E79" s="373" t="s">
        <v>15</v>
      </c>
      <c r="F79" s="376">
        <v>776257.57</v>
      </c>
    </row>
    <row r="80" spans="1:6" ht="30" x14ac:dyDescent="0.25">
      <c r="A80" s="373" t="s">
        <v>94</v>
      </c>
      <c r="B80" s="374" t="s">
        <v>89</v>
      </c>
      <c r="C80" s="374"/>
      <c r="D80" s="374"/>
      <c r="E80" s="373" t="s">
        <v>15</v>
      </c>
      <c r="F80" s="376">
        <v>87266.2</v>
      </c>
    </row>
    <row r="81" spans="1:6" ht="45" x14ac:dyDescent="0.25">
      <c r="A81" s="373" t="s">
        <v>95</v>
      </c>
      <c r="B81" s="374" t="s">
        <v>444</v>
      </c>
      <c r="C81" s="374"/>
      <c r="D81" s="374"/>
      <c r="E81" s="373" t="s">
        <v>15</v>
      </c>
      <c r="F81" s="376">
        <v>689</v>
      </c>
    </row>
    <row r="82" spans="1:6" x14ac:dyDescent="0.25">
      <c r="A82" s="456" t="s">
        <v>72</v>
      </c>
      <c r="B82" s="456"/>
      <c r="C82" s="456"/>
      <c r="D82" s="456"/>
      <c r="E82" s="456"/>
      <c r="F82" s="456"/>
    </row>
    <row r="83" spans="1:6" x14ac:dyDescent="0.25">
      <c r="A83" s="373" t="s">
        <v>78</v>
      </c>
      <c r="B83" s="374" t="s">
        <v>16</v>
      </c>
      <c r="C83" s="374"/>
      <c r="D83" s="374"/>
      <c r="E83" s="373" t="s">
        <v>5</v>
      </c>
      <c r="F83" s="388" t="s">
        <v>332</v>
      </c>
    </row>
    <row r="84" spans="1:6" x14ac:dyDescent="0.25">
      <c r="A84" s="373" t="s">
        <v>80</v>
      </c>
      <c r="B84" s="374" t="s">
        <v>14</v>
      </c>
      <c r="C84" s="374"/>
      <c r="D84" s="374"/>
      <c r="E84" s="373" t="s">
        <v>5</v>
      </c>
      <c r="F84" s="388" t="s">
        <v>331</v>
      </c>
    </row>
    <row r="85" spans="1:6" x14ac:dyDescent="0.25">
      <c r="A85" s="373" t="s">
        <v>82</v>
      </c>
      <c r="B85" s="374" t="s">
        <v>76</v>
      </c>
      <c r="C85" s="392"/>
      <c r="D85" s="392"/>
      <c r="E85" s="377" t="s">
        <v>77</v>
      </c>
      <c r="F85" s="377">
        <v>9042</v>
      </c>
    </row>
    <row r="86" spans="1:6" x14ac:dyDescent="0.25">
      <c r="A86" s="373" t="s">
        <v>84</v>
      </c>
      <c r="B86" s="374" t="s">
        <v>79</v>
      </c>
      <c r="C86" s="392"/>
      <c r="D86" s="392"/>
      <c r="E86" s="377" t="s">
        <v>15</v>
      </c>
      <c r="F86" s="377">
        <v>433569.32</v>
      </c>
    </row>
    <row r="87" spans="1:6" x14ac:dyDescent="0.25">
      <c r="A87" s="373" t="s">
        <v>86</v>
      </c>
      <c r="B87" s="374" t="s">
        <v>81</v>
      </c>
      <c r="C87" s="392"/>
      <c r="D87" s="392"/>
      <c r="E87" s="377" t="s">
        <v>15</v>
      </c>
      <c r="F87" s="377">
        <v>443981.73</v>
      </c>
    </row>
    <row r="88" spans="1:6" x14ac:dyDescent="0.25">
      <c r="A88" s="373" t="s">
        <v>88</v>
      </c>
      <c r="B88" s="374" t="s">
        <v>83</v>
      </c>
      <c r="C88" s="392"/>
      <c r="D88" s="392"/>
      <c r="E88" s="377" t="s">
        <v>15</v>
      </c>
      <c r="F88" s="377">
        <f>F86-F87</f>
        <v>-10412.409999999974</v>
      </c>
    </row>
    <row r="89" spans="1:6" ht="30" x14ac:dyDescent="0.25">
      <c r="A89" s="373" t="s">
        <v>90</v>
      </c>
      <c r="B89" s="374" t="s">
        <v>85</v>
      </c>
      <c r="C89" s="392"/>
      <c r="D89" s="392"/>
      <c r="E89" s="377" t="s">
        <v>15</v>
      </c>
      <c r="F89" s="377">
        <v>403772.17</v>
      </c>
    </row>
    <row r="90" spans="1:6" ht="30" x14ac:dyDescent="0.25">
      <c r="A90" s="373" t="s">
        <v>93</v>
      </c>
      <c r="B90" s="374" t="s">
        <v>87</v>
      </c>
      <c r="C90" s="392"/>
      <c r="D90" s="392"/>
      <c r="E90" s="377" t="s">
        <v>15</v>
      </c>
      <c r="F90" s="376">
        <v>377300.62</v>
      </c>
    </row>
    <row r="91" spans="1:6" ht="30" x14ac:dyDescent="0.25">
      <c r="A91" s="373" t="s">
        <v>94</v>
      </c>
      <c r="B91" s="374" t="s">
        <v>89</v>
      </c>
      <c r="C91" s="392"/>
      <c r="D91" s="392"/>
      <c r="E91" s="377" t="s">
        <v>15</v>
      </c>
      <c r="F91" s="376">
        <v>26471.55</v>
      </c>
    </row>
    <row r="92" spans="1:6" ht="45" x14ac:dyDescent="0.25">
      <c r="A92" s="373" t="s">
        <v>95</v>
      </c>
      <c r="B92" s="374" t="s">
        <v>444</v>
      </c>
      <c r="C92" s="392"/>
      <c r="D92" s="392"/>
      <c r="E92" s="377" t="s">
        <v>15</v>
      </c>
      <c r="F92" s="376">
        <v>0</v>
      </c>
    </row>
    <row r="93" spans="1:6" x14ac:dyDescent="0.25">
      <c r="A93" s="473" t="s">
        <v>72</v>
      </c>
      <c r="B93" s="473"/>
      <c r="C93" s="473"/>
      <c r="D93" s="473"/>
      <c r="E93" s="473"/>
      <c r="F93" s="473"/>
    </row>
    <row r="94" spans="1:6" x14ac:dyDescent="0.25">
      <c r="A94" s="303" t="s">
        <v>78</v>
      </c>
      <c r="B94" s="310" t="s">
        <v>16</v>
      </c>
      <c r="C94" s="434"/>
      <c r="D94" s="434"/>
      <c r="E94" s="396" t="s">
        <v>5</v>
      </c>
      <c r="F94" s="435" t="s">
        <v>333</v>
      </c>
    </row>
    <row r="95" spans="1:6" x14ac:dyDescent="0.25">
      <c r="A95" s="303" t="s">
        <v>80</v>
      </c>
      <c r="B95" s="310" t="s">
        <v>14</v>
      </c>
      <c r="C95" s="434"/>
      <c r="D95" s="434"/>
      <c r="E95" s="396" t="s">
        <v>5</v>
      </c>
      <c r="F95" s="435" t="s">
        <v>331</v>
      </c>
    </row>
    <row r="96" spans="1:6" x14ac:dyDescent="0.25">
      <c r="A96" s="303" t="s">
        <v>82</v>
      </c>
      <c r="B96" s="310" t="s">
        <v>76</v>
      </c>
      <c r="C96" s="434"/>
      <c r="D96" s="434"/>
      <c r="E96" s="396" t="s">
        <v>77</v>
      </c>
      <c r="F96" s="396">
        <v>5385.55</v>
      </c>
    </row>
    <row r="97" spans="1:6" x14ac:dyDescent="0.25">
      <c r="A97" s="303" t="s">
        <v>84</v>
      </c>
      <c r="B97" s="310" t="s">
        <v>79</v>
      </c>
      <c r="C97" s="434"/>
      <c r="D97" s="434"/>
      <c r="E97" s="396" t="s">
        <v>15</v>
      </c>
      <c r="F97" s="396">
        <v>258237.13</v>
      </c>
    </row>
    <row r="98" spans="1:6" x14ac:dyDescent="0.25">
      <c r="A98" s="303" t="s">
        <v>86</v>
      </c>
      <c r="B98" s="310" t="s">
        <v>81</v>
      </c>
      <c r="C98" s="434"/>
      <c r="D98" s="434"/>
      <c r="E98" s="396" t="s">
        <v>15</v>
      </c>
      <c r="F98" s="396">
        <v>260637.05</v>
      </c>
    </row>
    <row r="99" spans="1:6" ht="27.75" customHeight="1" x14ac:dyDescent="0.25">
      <c r="A99" s="303" t="s">
        <v>88</v>
      </c>
      <c r="B99" s="310" t="s">
        <v>83</v>
      </c>
      <c r="C99" s="434"/>
      <c r="D99" s="434"/>
      <c r="E99" s="396" t="s">
        <v>15</v>
      </c>
      <c r="F99" s="396">
        <f>F97-F98</f>
        <v>-2399.9199999999837</v>
      </c>
    </row>
    <row r="100" spans="1:6" ht="30" x14ac:dyDescent="0.25">
      <c r="A100" s="303" t="s">
        <v>90</v>
      </c>
      <c r="B100" s="310" t="s">
        <v>85</v>
      </c>
      <c r="C100" s="434"/>
      <c r="D100" s="434"/>
      <c r="E100" s="396" t="s">
        <v>15</v>
      </c>
      <c r="F100" s="396">
        <v>258237.13</v>
      </c>
    </row>
    <row r="101" spans="1:6" ht="30" x14ac:dyDescent="0.25">
      <c r="A101" s="303" t="s">
        <v>93</v>
      </c>
      <c r="B101" s="310" t="s">
        <v>87</v>
      </c>
      <c r="C101" s="434"/>
      <c r="D101" s="434"/>
      <c r="E101" s="396" t="s">
        <v>15</v>
      </c>
      <c r="F101" s="311">
        <v>241396.04</v>
      </c>
    </row>
    <row r="102" spans="1:6" ht="30" x14ac:dyDescent="0.25">
      <c r="A102" s="303" t="s">
        <v>94</v>
      </c>
      <c r="B102" s="310" t="s">
        <v>89</v>
      </c>
      <c r="C102" s="434"/>
      <c r="D102" s="434"/>
      <c r="E102" s="396" t="s">
        <v>15</v>
      </c>
      <c r="F102" s="311">
        <v>16841.09</v>
      </c>
    </row>
    <row r="103" spans="1:6" ht="36" customHeight="1" x14ac:dyDescent="0.25">
      <c r="A103" s="303" t="s">
        <v>95</v>
      </c>
      <c r="B103" s="310" t="s">
        <v>444</v>
      </c>
      <c r="C103" s="434"/>
      <c r="D103" s="434"/>
      <c r="E103" s="396" t="s">
        <v>15</v>
      </c>
      <c r="F103" s="311">
        <v>0</v>
      </c>
    </row>
    <row r="104" spans="1:6" ht="26.25" customHeight="1" x14ac:dyDescent="0.25">
      <c r="A104" s="473" t="s">
        <v>72</v>
      </c>
      <c r="B104" s="473"/>
      <c r="C104" s="473"/>
      <c r="D104" s="473"/>
      <c r="E104" s="473"/>
      <c r="F104" s="473"/>
    </row>
    <row r="105" spans="1:6" x14ac:dyDescent="0.25">
      <c r="A105" s="303" t="s">
        <v>78</v>
      </c>
      <c r="B105" s="310" t="s">
        <v>16</v>
      </c>
      <c r="C105" s="310"/>
      <c r="D105" s="310"/>
      <c r="E105" s="303" t="s">
        <v>5</v>
      </c>
      <c r="F105" s="307" t="s">
        <v>342</v>
      </c>
    </row>
    <row r="106" spans="1:6" x14ac:dyDescent="0.25">
      <c r="A106" s="303" t="s">
        <v>80</v>
      </c>
      <c r="B106" s="310" t="s">
        <v>14</v>
      </c>
      <c r="C106" s="310"/>
      <c r="D106" s="310"/>
      <c r="E106" s="303" t="s">
        <v>5</v>
      </c>
      <c r="F106" s="307" t="s">
        <v>331</v>
      </c>
    </row>
    <row r="107" spans="1:6" x14ac:dyDescent="0.25">
      <c r="A107" s="303" t="s">
        <v>82</v>
      </c>
      <c r="B107" s="310" t="s">
        <v>76</v>
      </c>
      <c r="C107" s="310"/>
      <c r="D107" s="310"/>
      <c r="E107" s="303" t="s">
        <v>77</v>
      </c>
      <c r="F107" s="311">
        <v>14100.6</v>
      </c>
    </row>
    <row r="108" spans="1:6" x14ac:dyDescent="0.25">
      <c r="A108" s="303" t="s">
        <v>84</v>
      </c>
      <c r="B108" s="310" t="s">
        <v>79</v>
      </c>
      <c r="C108" s="310"/>
      <c r="D108" s="310"/>
      <c r="E108" s="303" t="s">
        <v>15</v>
      </c>
      <c r="F108" s="327">
        <v>733513</v>
      </c>
    </row>
    <row r="109" spans="1:6" x14ac:dyDescent="0.25">
      <c r="A109" s="303" t="s">
        <v>86</v>
      </c>
      <c r="B109" s="310" t="s">
        <v>81</v>
      </c>
      <c r="C109" s="310"/>
      <c r="D109" s="310"/>
      <c r="E109" s="303" t="s">
        <v>15</v>
      </c>
      <c r="F109" s="327">
        <v>745961.2</v>
      </c>
    </row>
    <row r="110" spans="1:6" x14ac:dyDescent="0.25">
      <c r="A110" s="303" t="s">
        <v>88</v>
      </c>
      <c r="B110" s="310" t="s">
        <v>83</v>
      </c>
      <c r="C110" s="310"/>
      <c r="D110" s="310"/>
      <c r="E110" s="303" t="s">
        <v>15</v>
      </c>
      <c r="F110" s="311">
        <f>F108-F109</f>
        <v>-12448.199999999953</v>
      </c>
    </row>
    <row r="111" spans="1:6" ht="30" x14ac:dyDescent="0.25">
      <c r="A111" s="303" t="s">
        <v>90</v>
      </c>
      <c r="B111" s="310" t="s">
        <v>85</v>
      </c>
      <c r="C111" s="310"/>
      <c r="D111" s="310"/>
      <c r="E111" s="303" t="s">
        <v>15</v>
      </c>
      <c r="F111" s="311">
        <v>699538.27</v>
      </c>
    </row>
    <row r="112" spans="1:6" ht="30" x14ac:dyDescent="0.25">
      <c r="A112" s="303" t="s">
        <v>93</v>
      </c>
      <c r="B112" s="310" t="s">
        <v>87</v>
      </c>
      <c r="C112" s="310"/>
      <c r="D112" s="310"/>
      <c r="E112" s="303" t="s">
        <v>15</v>
      </c>
      <c r="F112" s="311">
        <v>653818.06999999995</v>
      </c>
    </row>
    <row r="113" spans="1:6" ht="30" x14ac:dyDescent="0.25">
      <c r="A113" s="303" t="s">
        <v>94</v>
      </c>
      <c r="B113" s="310" t="s">
        <v>89</v>
      </c>
      <c r="C113" s="310"/>
      <c r="D113" s="310"/>
      <c r="E113" s="303" t="s">
        <v>15</v>
      </c>
      <c r="F113" s="311">
        <v>45720.2</v>
      </c>
    </row>
    <row r="114" spans="1:6" ht="45" x14ac:dyDescent="0.25">
      <c r="A114" s="303" t="s">
        <v>95</v>
      </c>
      <c r="B114" s="310" t="s">
        <v>444</v>
      </c>
      <c r="C114" s="310"/>
      <c r="D114" s="310"/>
      <c r="E114" s="303" t="s">
        <v>15</v>
      </c>
      <c r="F114" s="311"/>
    </row>
    <row r="115" spans="1:6" x14ac:dyDescent="0.25">
      <c r="A115" s="453" t="s">
        <v>72</v>
      </c>
      <c r="B115" s="453"/>
      <c r="C115" s="453"/>
      <c r="D115" s="453"/>
      <c r="E115" s="453"/>
      <c r="F115" s="453"/>
    </row>
    <row r="116" spans="1:6" x14ac:dyDescent="0.25">
      <c r="A116" s="303" t="s">
        <v>78</v>
      </c>
      <c r="B116" s="310" t="s">
        <v>16</v>
      </c>
      <c r="C116" s="310"/>
      <c r="D116" s="310"/>
      <c r="E116" s="303" t="s">
        <v>5</v>
      </c>
      <c r="F116" s="307" t="s">
        <v>323</v>
      </c>
    </row>
    <row r="117" spans="1:6" x14ac:dyDescent="0.25">
      <c r="A117" s="303" t="s">
        <v>80</v>
      </c>
      <c r="B117" s="310" t="s">
        <v>14</v>
      </c>
      <c r="C117" s="310"/>
      <c r="D117" s="310"/>
      <c r="E117" s="303" t="s">
        <v>5</v>
      </c>
      <c r="F117" s="307" t="s">
        <v>471</v>
      </c>
    </row>
    <row r="118" spans="1:6" x14ac:dyDescent="0.25">
      <c r="A118" s="303" t="s">
        <v>82</v>
      </c>
      <c r="B118" s="310" t="s">
        <v>76</v>
      </c>
      <c r="C118" s="310"/>
      <c r="D118" s="310"/>
      <c r="E118" s="303" t="s">
        <v>77</v>
      </c>
      <c r="F118" s="303">
        <f>341.43+540.41</f>
        <v>881.83999999999992</v>
      </c>
    </row>
    <row r="119" spans="1:6" x14ac:dyDescent="0.25">
      <c r="A119" s="303" t="s">
        <v>84</v>
      </c>
      <c r="B119" s="310" t="s">
        <v>79</v>
      </c>
      <c r="C119" s="310"/>
      <c r="D119" s="310"/>
      <c r="E119" s="303" t="s">
        <v>15</v>
      </c>
      <c r="F119" s="327">
        <f>632427.02+1000998.98</f>
        <v>1633426</v>
      </c>
    </row>
    <row r="120" spans="1:6" x14ac:dyDescent="0.25">
      <c r="A120" s="303" t="s">
        <v>86</v>
      </c>
      <c r="B120" s="310" t="s">
        <v>81</v>
      </c>
      <c r="C120" s="310"/>
      <c r="D120" s="310"/>
      <c r="E120" s="303" t="s">
        <v>15</v>
      </c>
      <c r="F120" s="327">
        <v>1691444.56</v>
      </c>
    </row>
    <row r="121" spans="1:6" x14ac:dyDescent="0.25">
      <c r="A121" s="303" t="s">
        <v>88</v>
      </c>
      <c r="B121" s="310" t="s">
        <v>83</v>
      </c>
      <c r="C121" s="310"/>
      <c r="D121" s="310"/>
      <c r="E121" s="303" t="s">
        <v>15</v>
      </c>
      <c r="F121" s="311">
        <f>F119-F120</f>
        <v>-58018.560000000056</v>
      </c>
    </row>
    <row r="122" spans="1:6" ht="30" x14ac:dyDescent="0.25">
      <c r="A122" s="303" t="s">
        <v>90</v>
      </c>
      <c r="B122" s="310" t="s">
        <v>85</v>
      </c>
      <c r="C122" s="310"/>
      <c r="D122" s="310"/>
      <c r="E122" s="303" t="s">
        <v>15</v>
      </c>
      <c r="F122" s="311">
        <v>1533520.47</v>
      </c>
    </row>
    <row r="123" spans="1:6" ht="30" x14ac:dyDescent="0.25">
      <c r="A123" s="303" t="s">
        <v>93</v>
      </c>
      <c r="B123" s="310" t="s">
        <v>87</v>
      </c>
      <c r="C123" s="310"/>
      <c r="D123" s="310"/>
      <c r="E123" s="303" t="s">
        <v>15</v>
      </c>
      <c r="F123" s="311">
        <v>1364390.48</v>
      </c>
    </row>
    <row r="124" spans="1:6" ht="30" x14ac:dyDescent="0.25">
      <c r="A124" s="303" t="s">
        <v>94</v>
      </c>
      <c r="B124" s="310" t="s">
        <v>89</v>
      </c>
      <c r="C124" s="310"/>
      <c r="D124" s="310"/>
      <c r="E124" s="303" t="s">
        <v>15</v>
      </c>
      <c r="F124" s="311">
        <f>F122-F123</f>
        <v>169129.99</v>
      </c>
    </row>
    <row r="125" spans="1:6" ht="45" x14ac:dyDescent="0.25">
      <c r="A125" s="303" t="s">
        <v>95</v>
      </c>
      <c r="B125" s="310" t="s">
        <v>444</v>
      </c>
      <c r="C125" s="310"/>
      <c r="D125" s="310"/>
      <c r="E125" s="303" t="s">
        <v>15</v>
      </c>
      <c r="F125" s="311">
        <v>93128.97</v>
      </c>
    </row>
    <row r="126" spans="1:6" x14ac:dyDescent="0.25">
      <c r="A126" s="444" t="s">
        <v>92</v>
      </c>
      <c r="B126" s="444"/>
      <c r="C126" s="444"/>
      <c r="D126" s="444"/>
      <c r="E126" s="444"/>
      <c r="F126" s="444"/>
    </row>
    <row r="127" spans="1:6" x14ac:dyDescent="0.25">
      <c r="A127" s="4" t="s">
        <v>96</v>
      </c>
      <c r="B127" s="5" t="s">
        <v>55</v>
      </c>
      <c r="C127" s="5"/>
      <c r="D127" s="5"/>
      <c r="E127" s="4" t="s">
        <v>58</v>
      </c>
      <c r="F127" s="287">
        <v>0</v>
      </c>
    </row>
    <row r="128" spans="1:6" x14ac:dyDescent="0.25">
      <c r="A128" s="4" t="s">
        <v>98</v>
      </c>
      <c r="B128" s="5" t="s">
        <v>57</v>
      </c>
      <c r="C128" s="5"/>
      <c r="D128" s="5"/>
      <c r="E128" s="4" t="s">
        <v>58</v>
      </c>
      <c r="F128" s="287">
        <v>0</v>
      </c>
    </row>
    <row r="129" spans="1:6" ht="30" x14ac:dyDescent="0.25">
      <c r="A129" s="4" t="s">
        <v>100</v>
      </c>
      <c r="B129" s="5" t="s">
        <v>60</v>
      </c>
      <c r="C129" s="5"/>
      <c r="D129" s="5"/>
      <c r="E129" s="4" t="s">
        <v>58</v>
      </c>
      <c r="F129" s="287">
        <v>0</v>
      </c>
    </row>
    <row r="130" spans="1:6" x14ac:dyDescent="0.25">
      <c r="A130" s="4" t="s">
        <v>102</v>
      </c>
      <c r="B130" s="5" t="s">
        <v>62</v>
      </c>
      <c r="C130" s="5"/>
      <c r="D130" s="5"/>
      <c r="E130" s="4" t="s">
        <v>15</v>
      </c>
      <c r="F130" s="287">
        <v>0</v>
      </c>
    </row>
    <row r="131" spans="1:6" x14ac:dyDescent="0.25">
      <c r="A131" s="444" t="s">
        <v>97</v>
      </c>
      <c r="B131" s="444"/>
      <c r="C131" s="444"/>
      <c r="D131" s="444"/>
      <c r="E131" s="444"/>
      <c r="F131" s="444"/>
    </row>
    <row r="132" spans="1:6" ht="30" x14ac:dyDescent="0.25">
      <c r="A132" s="4" t="s">
        <v>446</v>
      </c>
      <c r="B132" s="5" t="s">
        <v>99</v>
      </c>
      <c r="C132" s="5"/>
      <c r="D132" s="5"/>
      <c r="E132" s="4" t="s">
        <v>58</v>
      </c>
      <c r="F132" s="293"/>
    </row>
    <row r="133" spans="1:6" x14ac:dyDescent="0.25">
      <c r="A133" s="4" t="s">
        <v>447</v>
      </c>
      <c r="B133" s="5" t="s">
        <v>101</v>
      </c>
      <c r="C133" s="5"/>
      <c r="D133" s="5"/>
      <c r="E133" s="4" t="s">
        <v>58</v>
      </c>
      <c r="F133" s="293"/>
    </row>
    <row r="134" spans="1:6" ht="30" x14ac:dyDescent="0.25">
      <c r="A134" s="4" t="s">
        <v>448</v>
      </c>
      <c r="B134" s="5" t="s">
        <v>103</v>
      </c>
      <c r="C134" s="5"/>
      <c r="D134" s="5"/>
      <c r="E134" s="4" t="s">
        <v>15</v>
      </c>
      <c r="F134" s="287"/>
    </row>
    <row r="135" spans="1:6" x14ac:dyDescent="0.25">
      <c r="B135" s="1"/>
      <c r="C135" s="1"/>
      <c r="D135" s="1"/>
    </row>
    <row r="136" spans="1:6" x14ac:dyDescent="0.25">
      <c r="B136" s="1"/>
      <c r="C136" s="1"/>
      <c r="D136" s="1"/>
    </row>
    <row r="137" spans="1:6" x14ac:dyDescent="0.25">
      <c r="B137" s="1"/>
      <c r="C137" s="1"/>
      <c r="D137" s="1"/>
    </row>
    <row r="138" spans="1:6" x14ac:dyDescent="0.25">
      <c r="B138" s="1"/>
      <c r="C138" s="1"/>
      <c r="D138" s="1"/>
    </row>
    <row r="139" spans="1:6" x14ac:dyDescent="0.25">
      <c r="B139" s="1"/>
      <c r="C139" s="1"/>
      <c r="D139" s="1"/>
    </row>
    <row r="140" spans="1:6" x14ac:dyDescent="0.25">
      <c r="B140" s="1"/>
      <c r="C140" s="1"/>
      <c r="D140" s="1"/>
    </row>
    <row r="141" spans="1:6" x14ac:dyDescent="0.25">
      <c r="B141" s="1"/>
      <c r="C141" s="1"/>
      <c r="D141" s="1"/>
    </row>
    <row r="142" spans="1:6" x14ac:dyDescent="0.25">
      <c r="B142" s="1"/>
      <c r="C142" s="1"/>
      <c r="D142" s="1"/>
    </row>
    <row r="143" spans="1:6" x14ac:dyDescent="0.25">
      <c r="B143" s="1"/>
      <c r="C143" s="1"/>
      <c r="D143" s="1"/>
    </row>
    <row r="144" spans="1:6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  <row r="165" spans="2:4" x14ac:dyDescent="0.25">
      <c r="B165" s="1"/>
      <c r="C165" s="1"/>
      <c r="D165" s="1"/>
    </row>
    <row r="166" spans="2:4" x14ac:dyDescent="0.25">
      <c r="B166" s="1"/>
      <c r="C166" s="1"/>
      <c r="D166" s="1"/>
    </row>
    <row r="167" spans="2:4" x14ac:dyDescent="0.25">
      <c r="B167" s="1"/>
      <c r="C167" s="1"/>
      <c r="D167" s="1"/>
    </row>
    <row r="168" spans="2:4" x14ac:dyDescent="0.25">
      <c r="B168" s="1"/>
      <c r="C168" s="1"/>
      <c r="D168" s="1"/>
    </row>
    <row r="169" spans="2:4" x14ac:dyDescent="0.25">
      <c r="B169" s="1"/>
      <c r="C169" s="1"/>
      <c r="D169" s="1"/>
    </row>
    <row r="170" spans="2:4" x14ac:dyDescent="0.25">
      <c r="B170" s="1"/>
      <c r="C170" s="1"/>
      <c r="D170" s="1"/>
    </row>
    <row r="171" spans="2:4" x14ac:dyDescent="0.25">
      <c r="B171" s="1"/>
      <c r="C171" s="1"/>
      <c r="D171" s="1"/>
    </row>
    <row r="172" spans="2:4" x14ac:dyDescent="0.25">
      <c r="B172" s="1"/>
      <c r="C172" s="1"/>
      <c r="D172" s="1"/>
    </row>
    <row r="173" spans="2:4" x14ac:dyDescent="0.25">
      <c r="B173" s="1"/>
      <c r="C173" s="1"/>
      <c r="D173" s="1"/>
    </row>
  </sheetData>
  <mergeCells count="15">
    <mergeCell ref="A115:F115"/>
    <mergeCell ref="A126:F126"/>
    <mergeCell ref="A131:F131"/>
    <mergeCell ref="A59:F59"/>
    <mergeCell ref="A64:F64"/>
    <mergeCell ref="A71:F71"/>
    <mergeCell ref="A82:F82"/>
    <mergeCell ref="A93:F93"/>
    <mergeCell ref="A104:F104"/>
    <mergeCell ref="C47:C49"/>
    <mergeCell ref="A1:F1"/>
    <mergeCell ref="A6:F6"/>
    <mergeCell ref="A24:F24"/>
    <mergeCell ref="C32:C35"/>
    <mergeCell ref="C39:C42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5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3"/>
  <sheetViews>
    <sheetView view="pageBreakPreview" topLeftCell="A59" zoomScaleNormal="100" zoomScaleSheetLayoutView="100" workbookViewId="0">
      <selection activeCell="G59" sqref="G1:N1048576"/>
    </sheetView>
  </sheetViews>
  <sheetFormatPr defaultRowHeight="15" x14ac:dyDescent="0.25"/>
  <cols>
    <col min="1" max="1" width="3.85546875" customWidth="1"/>
    <col min="2" max="3" width="46.140625" customWidth="1"/>
    <col min="4" max="4" width="14.5703125" customWidth="1"/>
    <col min="5" max="5" width="10.42578125" customWidth="1"/>
    <col min="6" max="6" width="15.85546875" customWidth="1"/>
    <col min="7" max="14" width="0" hidden="1" customWidth="1"/>
  </cols>
  <sheetData>
    <row r="1" spans="1:6" ht="38.25" customHeight="1" x14ac:dyDescent="0.25">
      <c r="A1" s="470" t="s">
        <v>474</v>
      </c>
      <c r="B1" s="470"/>
      <c r="C1" s="470"/>
      <c r="D1" s="470"/>
      <c r="E1" s="470"/>
      <c r="F1" s="470"/>
    </row>
    <row r="2" spans="1:6" ht="45" x14ac:dyDescent="0.25">
      <c r="A2" s="301" t="s">
        <v>0</v>
      </c>
      <c r="B2" s="302" t="s">
        <v>1</v>
      </c>
      <c r="C2" s="302" t="s">
        <v>105</v>
      </c>
      <c r="D2" s="304" t="s">
        <v>433</v>
      </c>
      <c r="E2" s="302" t="s">
        <v>2</v>
      </c>
      <c r="F2" s="302" t="s">
        <v>3</v>
      </c>
    </row>
    <row r="3" spans="1:6" x14ac:dyDescent="0.25">
      <c r="A3" s="303" t="s">
        <v>4</v>
      </c>
      <c r="B3" s="304" t="s">
        <v>6</v>
      </c>
      <c r="C3" s="304" t="s">
        <v>472</v>
      </c>
      <c r="D3" s="304"/>
      <c r="E3" s="303" t="s">
        <v>5</v>
      </c>
      <c r="F3" s="303"/>
    </row>
    <row r="4" spans="1:6" x14ac:dyDescent="0.25">
      <c r="A4" s="307" t="s">
        <v>7</v>
      </c>
      <c r="B4" s="304" t="s">
        <v>21</v>
      </c>
      <c r="C4" s="304" t="s">
        <v>469</v>
      </c>
      <c r="D4" s="304"/>
      <c r="E4" s="303" t="s">
        <v>5</v>
      </c>
      <c r="F4" s="303"/>
    </row>
    <row r="5" spans="1:6" x14ac:dyDescent="0.25">
      <c r="A5" s="307" t="s">
        <v>8</v>
      </c>
      <c r="B5" s="304" t="s">
        <v>22</v>
      </c>
      <c r="C5" s="304" t="s">
        <v>470</v>
      </c>
      <c r="D5" s="304"/>
      <c r="E5" s="303" t="s">
        <v>5</v>
      </c>
      <c r="F5" s="303"/>
    </row>
    <row r="6" spans="1:6" ht="30.75" customHeight="1" x14ac:dyDescent="0.25">
      <c r="A6" s="462" t="s">
        <v>362</v>
      </c>
      <c r="B6" s="462"/>
      <c r="C6" s="462"/>
      <c r="D6" s="462"/>
      <c r="E6" s="462"/>
      <c r="F6" s="462"/>
    </row>
    <row r="7" spans="1:6" s="273" customFormat="1" ht="30.75" customHeight="1" x14ac:dyDescent="0.25">
      <c r="A7" s="308" t="s">
        <v>9</v>
      </c>
      <c r="B7" s="308" t="s">
        <v>370</v>
      </c>
      <c r="C7" s="308"/>
      <c r="D7" s="308"/>
      <c r="E7" s="308"/>
      <c r="F7" s="321">
        <v>0</v>
      </c>
    </row>
    <row r="8" spans="1:6" ht="30" x14ac:dyDescent="0.25">
      <c r="A8" s="303" t="s">
        <v>375</v>
      </c>
      <c r="B8" s="310" t="s">
        <v>43</v>
      </c>
      <c r="C8" s="310"/>
      <c r="D8" s="310"/>
      <c r="E8" s="303" t="s">
        <v>15</v>
      </c>
      <c r="F8" s="320">
        <v>0</v>
      </c>
    </row>
    <row r="9" spans="1:6" ht="30" x14ac:dyDescent="0.25">
      <c r="A9" s="303" t="s">
        <v>11</v>
      </c>
      <c r="B9" s="310" t="s">
        <v>374</v>
      </c>
      <c r="C9" s="310"/>
      <c r="D9" s="310"/>
      <c r="E9" s="303" t="s">
        <v>15</v>
      </c>
      <c r="F9" s="311">
        <v>1208134.73</v>
      </c>
    </row>
    <row r="10" spans="1:6" ht="33.75" customHeight="1" x14ac:dyDescent="0.25">
      <c r="A10" s="303" t="s">
        <v>12</v>
      </c>
      <c r="B10" s="310" t="s">
        <v>25</v>
      </c>
      <c r="C10" s="310"/>
      <c r="D10" s="310">
        <v>40.14</v>
      </c>
      <c r="E10" s="303" t="s">
        <v>15</v>
      </c>
      <c r="F10" s="312">
        <f>H32*H33*D26</f>
        <v>6780705.6960000014</v>
      </c>
    </row>
    <row r="11" spans="1:6" x14ac:dyDescent="0.25">
      <c r="A11" s="303" t="s">
        <v>13</v>
      </c>
      <c r="B11" s="310" t="s">
        <v>26</v>
      </c>
      <c r="C11" s="310"/>
      <c r="D11" s="310"/>
      <c r="E11" s="303" t="s">
        <v>15</v>
      </c>
      <c r="F11" s="311"/>
    </row>
    <row r="12" spans="1:6" x14ac:dyDescent="0.25">
      <c r="A12" s="303" t="s">
        <v>17</v>
      </c>
      <c r="B12" s="310" t="s">
        <v>27</v>
      </c>
      <c r="C12" s="310"/>
      <c r="D12" s="310"/>
      <c r="E12" s="303" t="s">
        <v>15</v>
      </c>
      <c r="F12" s="311"/>
    </row>
    <row r="13" spans="1:6" x14ac:dyDescent="0.25">
      <c r="A13" s="303" t="s">
        <v>18</v>
      </c>
      <c r="B13" s="310" t="s">
        <v>28</v>
      </c>
      <c r="C13" s="310"/>
      <c r="D13" s="310">
        <v>3.41</v>
      </c>
      <c r="E13" s="303" t="s">
        <v>15</v>
      </c>
      <c r="F13" s="311">
        <f>H32*H33*D13</f>
        <v>576039.02400000009</v>
      </c>
    </row>
    <row r="14" spans="1:6" x14ac:dyDescent="0.25">
      <c r="A14" s="303" t="s">
        <v>19</v>
      </c>
      <c r="B14" s="310" t="s">
        <v>29</v>
      </c>
      <c r="C14" s="310"/>
      <c r="D14" s="310"/>
      <c r="E14" s="303" t="s">
        <v>15</v>
      </c>
      <c r="F14" s="326"/>
    </row>
    <row r="15" spans="1:6" x14ac:dyDescent="0.25">
      <c r="A15" s="303" t="s">
        <v>20</v>
      </c>
      <c r="B15" s="310" t="s">
        <v>30</v>
      </c>
      <c r="C15" s="310"/>
      <c r="D15" s="310"/>
      <c r="E15" s="303" t="s">
        <v>15</v>
      </c>
      <c r="F15" s="311">
        <v>7319763.3099999996</v>
      </c>
    </row>
    <row r="16" spans="1:6" x14ac:dyDescent="0.25">
      <c r="A16" s="303" t="s">
        <v>31</v>
      </c>
      <c r="B16" s="310" t="s">
        <v>32</v>
      </c>
      <c r="C16" s="310"/>
      <c r="D16" s="310"/>
      <c r="E16" s="303" t="s">
        <v>15</v>
      </c>
      <c r="F16" s="320">
        <v>0</v>
      </c>
    </row>
    <row r="17" spans="1:8" x14ac:dyDescent="0.25">
      <c r="A17" s="303" t="s">
        <v>33</v>
      </c>
      <c r="B17" s="310" t="s">
        <v>34</v>
      </c>
      <c r="C17" s="310"/>
      <c r="D17" s="310"/>
      <c r="E17" s="303" t="s">
        <v>15</v>
      </c>
      <c r="F17" s="320">
        <v>0</v>
      </c>
    </row>
    <row r="18" spans="1:8" ht="30" x14ac:dyDescent="0.25">
      <c r="A18" s="303" t="s">
        <v>35</v>
      </c>
      <c r="B18" s="310" t="s">
        <v>36</v>
      </c>
      <c r="C18" s="310"/>
      <c r="D18" s="310"/>
      <c r="E18" s="303" t="s">
        <v>15</v>
      </c>
      <c r="F18" s="320">
        <v>0</v>
      </c>
    </row>
    <row r="19" spans="1:8" x14ac:dyDescent="0.25">
      <c r="A19" s="303" t="s">
        <v>38</v>
      </c>
      <c r="B19" s="310" t="s">
        <v>37</v>
      </c>
      <c r="C19" s="310"/>
      <c r="D19" s="310"/>
      <c r="E19" s="303" t="s">
        <v>15</v>
      </c>
      <c r="F19" s="320">
        <v>0</v>
      </c>
    </row>
    <row r="20" spans="1:8" x14ac:dyDescent="0.25">
      <c r="A20" s="303" t="s">
        <v>39</v>
      </c>
      <c r="B20" s="310" t="s">
        <v>40</v>
      </c>
      <c r="C20" s="310"/>
      <c r="D20" s="310"/>
      <c r="E20" s="303" t="s">
        <v>15</v>
      </c>
      <c r="F20" s="327">
        <f>F15</f>
        <v>7319763.3099999996</v>
      </c>
    </row>
    <row r="21" spans="1:8" ht="30" x14ac:dyDescent="0.25">
      <c r="A21" s="303" t="s">
        <v>41</v>
      </c>
      <c r="B21" s="310" t="s">
        <v>381</v>
      </c>
      <c r="C21" s="310"/>
      <c r="D21" s="310"/>
      <c r="E21" s="303" t="s">
        <v>383</v>
      </c>
      <c r="F21" s="320">
        <v>0</v>
      </c>
    </row>
    <row r="22" spans="1:8" ht="30" x14ac:dyDescent="0.25">
      <c r="A22" s="303" t="s">
        <v>44</v>
      </c>
      <c r="B22" s="310" t="s">
        <v>42</v>
      </c>
      <c r="C22" s="310"/>
      <c r="D22" s="310"/>
      <c r="E22" s="303" t="s">
        <v>15</v>
      </c>
      <c r="F22" s="320">
        <v>0</v>
      </c>
    </row>
    <row r="23" spans="1:8" ht="29.25" customHeight="1" x14ac:dyDescent="0.25">
      <c r="A23" s="303" t="s">
        <v>45</v>
      </c>
      <c r="B23" s="310" t="s">
        <v>473</v>
      </c>
      <c r="C23" s="310"/>
      <c r="D23" s="310"/>
      <c r="E23" s="303" t="s">
        <v>15</v>
      </c>
      <c r="F23" s="311">
        <f>F9+F10-F15</f>
        <v>669077.11600000132</v>
      </c>
    </row>
    <row r="24" spans="1:8" ht="44.25" customHeight="1" x14ac:dyDescent="0.25">
      <c r="A24" s="472" t="s">
        <v>46</v>
      </c>
      <c r="B24" s="472"/>
      <c r="C24" s="472"/>
      <c r="D24" s="472"/>
      <c r="E24" s="472"/>
      <c r="F24" s="472"/>
    </row>
    <row r="25" spans="1:8" x14ac:dyDescent="0.25">
      <c r="A25" s="332" t="s">
        <v>47</v>
      </c>
      <c r="B25" s="310" t="s">
        <v>48</v>
      </c>
      <c r="C25" s="310"/>
      <c r="D25" s="310"/>
      <c r="E25" s="303" t="s">
        <v>5</v>
      </c>
      <c r="F25" s="303"/>
    </row>
    <row r="26" spans="1:8" x14ac:dyDescent="0.25">
      <c r="A26" s="332" t="s">
        <v>49</v>
      </c>
      <c r="B26" s="310" t="s">
        <v>387</v>
      </c>
      <c r="C26" s="310"/>
      <c r="D26" s="310">
        <f>SUM(D32:D42,D47:D58)</f>
        <v>40.14</v>
      </c>
      <c r="E26" s="303" t="s">
        <v>5</v>
      </c>
      <c r="F26" s="312">
        <f>SUM(F32:F42,F47:F58)</f>
        <v>6780705.6960000005</v>
      </c>
    </row>
    <row r="27" spans="1:8" hidden="1" x14ac:dyDescent="0.25">
      <c r="A27" s="332" t="s">
        <v>51</v>
      </c>
      <c r="B27" s="310" t="s">
        <v>48</v>
      </c>
      <c r="C27" s="310"/>
      <c r="D27" s="310"/>
      <c r="E27" s="303" t="s">
        <v>5</v>
      </c>
      <c r="F27" s="303"/>
    </row>
    <row r="28" spans="1:8" ht="30" hidden="1" x14ac:dyDescent="0.25">
      <c r="A28" s="332" t="s">
        <v>54</v>
      </c>
      <c r="B28" s="310" t="s">
        <v>415</v>
      </c>
      <c r="C28" s="310"/>
      <c r="D28" s="310"/>
      <c r="E28" s="303"/>
      <c r="F28" s="303"/>
    </row>
    <row r="29" spans="1:8" hidden="1" x14ac:dyDescent="0.25">
      <c r="A29" s="332" t="s">
        <v>56</v>
      </c>
      <c r="B29" s="310" t="s">
        <v>416</v>
      </c>
      <c r="C29" s="310"/>
      <c r="D29" s="310"/>
      <c r="E29" s="303"/>
      <c r="F29" s="303"/>
    </row>
    <row r="30" spans="1:8" hidden="1" x14ac:dyDescent="0.25">
      <c r="A30" s="332" t="s">
        <v>59</v>
      </c>
      <c r="B30" s="310" t="s">
        <v>417</v>
      </c>
      <c r="C30" s="310"/>
      <c r="D30" s="310"/>
      <c r="E30" s="303"/>
      <c r="F30" s="303"/>
    </row>
    <row r="31" spans="1:8" ht="30" hidden="1" x14ac:dyDescent="0.25">
      <c r="A31" s="303"/>
      <c r="B31" s="304" t="s">
        <v>429</v>
      </c>
      <c r="C31" s="304" t="s">
        <v>430</v>
      </c>
      <c r="D31" s="304" t="s">
        <v>433</v>
      </c>
      <c r="E31" s="303"/>
      <c r="F31" s="303"/>
    </row>
    <row r="32" spans="1:8" ht="26.25" x14ac:dyDescent="0.25">
      <c r="A32" s="332"/>
      <c r="B32" s="338" t="s">
        <v>388</v>
      </c>
      <c r="C32" s="468" t="s">
        <v>419</v>
      </c>
      <c r="D32" s="317">
        <v>6.31</v>
      </c>
      <c r="E32" s="303" t="s">
        <v>15</v>
      </c>
      <c r="F32" s="339">
        <f>D32*$H$32*$H$33</f>
        <v>1065925.584</v>
      </c>
      <c r="H32">
        <f>14077.2</f>
        <v>14077.2</v>
      </c>
    </row>
    <row r="33" spans="1:8" ht="30" customHeight="1" x14ac:dyDescent="0.25">
      <c r="A33" s="332"/>
      <c r="B33" s="338" t="s">
        <v>389</v>
      </c>
      <c r="C33" s="468"/>
      <c r="D33" s="317"/>
      <c r="E33" s="303" t="s">
        <v>15</v>
      </c>
      <c r="F33" s="339">
        <f t="shared" ref="F33:F58" si="0">D33*$H$32*$H$33</f>
        <v>0</v>
      </c>
      <c r="H33">
        <v>12</v>
      </c>
    </row>
    <row r="34" spans="1:8" x14ac:dyDescent="0.25">
      <c r="A34" s="332"/>
      <c r="B34" s="310" t="s">
        <v>390</v>
      </c>
      <c r="C34" s="468"/>
      <c r="D34" s="317">
        <v>0.82</v>
      </c>
      <c r="E34" s="303" t="s">
        <v>15</v>
      </c>
      <c r="F34" s="339">
        <f t="shared" si="0"/>
        <v>138519.64799999999</v>
      </c>
    </row>
    <row r="35" spans="1:8" x14ac:dyDescent="0.25">
      <c r="A35" s="332"/>
      <c r="B35" s="310" t="s">
        <v>391</v>
      </c>
      <c r="C35" s="468"/>
      <c r="D35" s="317">
        <v>0.16</v>
      </c>
      <c r="E35" s="303" t="s">
        <v>15</v>
      </c>
      <c r="F35" s="339">
        <f t="shared" si="0"/>
        <v>27028.224000000002</v>
      </c>
    </row>
    <row r="36" spans="1:8" x14ac:dyDescent="0.25">
      <c r="A36" s="332"/>
      <c r="B36" s="310" t="s">
        <v>392</v>
      </c>
      <c r="C36" s="310" t="s">
        <v>418</v>
      </c>
      <c r="D36" s="317">
        <v>1.3</v>
      </c>
      <c r="E36" s="303" t="s">
        <v>15</v>
      </c>
      <c r="F36" s="339">
        <f t="shared" si="0"/>
        <v>219604.32</v>
      </c>
    </row>
    <row r="37" spans="1:8" ht="45" x14ac:dyDescent="0.25">
      <c r="A37" s="332"/>
      <c r="B37" s="310" t="s">
        <v>393</v>
      </c>
      <c r="C37" s="310" t="s">
        <v>424</v>
      </c>
      <c r="D37" s="317">
        <v>0.17</v>
      </c>
      <c r="E37" s="303" t="s">
        <v>15</v>
      </c>
      <c r="F37" s="339">
        <f t="shared" si="0"/>
        <v>28717.488000000005</v>
      </c>
    </row>
    <row r="38" spans="1:8" ht="30" x14ac:dyDescent="0.25">
      <c r="A38" s="332"/>
      <c r="B38" s="310" t="s">
        <v>394</v>
      </c>
      <c r="C38" s="310" t="s">
        <v>425</v>
      </c>
      <c r="D38" s="317">
        <v>1.33</v>
      </c>
      <c r="E38" s="303" t="s">
        <v>15</v>
      </c>
      <c r="F38" s="339">
        <f t="shared" si="0"/>
        <v>224672.11200000002</v>
      </c>
    </row>
    <row r="39" spans="1:8" ht="26.25" x14ac:dyDescent="0.25">
      <c r="A39" s="332"/>
      <c r="B39" s="338" t="s">
        <v>395</v>
      </c>
      <c r="C39" s="468" t="s">
        <v>426</v>
      </c>
      <c r="D39" s="317">
        <v>2.0299999999999998</v>
      </c>
      <c r="E39" s="303" t="s">
        <v>15</v>
      </c>
      <c r="F39" s="339">
        <f t="shared" si="0"/>
        <v>342920.592</v>
      </c>
    </row>
    <row r="40" spans="1:8" ht="30" x14ac:dyDescent="0.25">
      <c r="A40" s="332"/>
      <c r="B40" s="310" t="s">
        <v>396</v>
      </c>
      <c r="C40" s="468"/>
      <c r="D40" s="317">
        <v>1.4</v>
      </c>
      <c r="E40" s="303" t="s">
        <v>15</v>
      </c>
      <c r="F40" s="339">
        <f t="shared" si="0"/>
        <v>236496.95999999996</v>
      </c>
    </row>
    <row r="41" spans="1:8" ht="26.25" x14ac:dyDescent="0.25">
      <c r="A41" s="332"/>
      <c r="B41" s="338" t="s">
        <v>397</v>
      </c>
      <c r="C41" s="468"/>
      <c r="D41" s="317">
        <v>0.52</v>
      </c>
      <c r="E41" s="303" t="s">
        <v>15</v>
      </c>
      <c r="F41" s="339">
        <f t="shared" si="0"/>
        <v>87841.728000000003</v>
      </c>
    </row>
    <row r="42" spans="1:8" ht="26.25" x14ac:dyDescent="0.25">
      <c r="A42" s="332"/>
      <c r="B42" s="359" t="s">
        <v>398</v>
      </c>
      <c r="C42" s="468"/>
      <c r="D42" s="436">
        <v>0.56000000000000005</v>
      </c>
      <c r="E42" s="303" t="s">
        <v>15</v>
      </c>
      <c r="F42" s="339">
        <f>SUM(F43:F46)</f>
        <v>94598.784000000014</v>
      </c>
    </row>
    <row r="43" spans="1:8" x14ac:dyDescent="0.25">
      <c r="A43" s="332"/>
      <c r="B43" s="338" t="s">
        <v>399</v>
      </c>
      <c r="C43" s="310"/>
      <c r="D43" s="317">
        <v>0.13</v>
      </c>
      <c r="E43" s="303" t="s">
        <v>15</v>
      </c>
      <c r="F43" s="339">
        <f t="shared" si="0"/>
        <v>21960.432000000001</v>
      </c>
    </row>
    <row r="44" spans="1:8" x14ac:dyDescent="0.25">
      <c r="A44" s="332"/>
      <c r="B44" s="338" t="s">
        <v>400</v>
      </c>
      <c r="C44" s="310"/>
      <c r="D44" s="317"/>
      <c r="E44" s="303" t="s">
        <v>15</v>
      </c>
      <c r="F44" s="339">
        <f t="shared" si="0"/>
        <v>0</v>
      </c>
    </row>
    <row r="45" spans="1:8" ht="31.5" customHeight="1" x14ac:dyDescent="0.25">
      <c r="A45" s="332"/>
      <c r="B45" s="338" t="s">
        <v>401</v>
      </c>
      <c r="C45" s="310"/>
      <c r="D45" s="317">
        <v>0.38</v>
      </c>
      <c r="E45" s="303" t="s">
        <v>15</v>
      </c>
      <c r="F45" s="339">
        <f t="shared" si="0"/>
        <v>64192.032000000007</v>
      </c>
    </row>
    <row r="46" spans="1:8" x14ac:dyDescent="0.25">
      <c r="A46" s="332"/>
      <c r="B46" s="338" t="s">
        <v>402</v>
      </c>
      <c r="C46" s="310"/>
      <c r="D46" s="317">
        <v>0.05</v>
      </c>
      <c r="E46" s="303" t="s">
        <v>15</v>
      </c>
      <c r="F46" s="339">
        <f t="shared" si="0"/>
        <v>8446.3200000000015</v>
      </c>
    </row>
    <row r="47" spans="1:8" ht="42.75" customHeight="1" x14ac:dyDescent="0.25">
      <c r="A47" s="332"/>
      <c r="B47" s="338" t="s">
        <v>403</v>
      </c>
      <c r="C47" s="468" t="s">
        <v>427</v>
      </c>
      <c r="D47" s="317">
        <v>0.6</v>
      </c>
      <c r="E47" s="303" t="s">
        <v>15</v>
      </c>
      <c r="F47" s="339">
        <f t="shared" si="0"/>
        <v>101355.84</v>
      </c>
    </row>
    <row r="48" spans="1:8" ht="31.5" customHeight="1" x14ac:dyDescent="0.25">
      <c r="A48" s="332"/>
      <c r="B48" s="310" t="s">
        <v>404</v>
      </c>
      <c r="C48" s="468"/>
      <c r="D48" s="317">
        <v>0.01</v>
      </c>
      <c r="E48" s="303" t="s">
        <v>15</v>
      </c>
      <c r="F48" s="339">
        <f t="shared" si="0"/>
        <v>1689.2640000000001</v>
      </c>
    </row>
    <row r="49" spans="1:6" ht="42.75" customHeight="1" x14ac:dyDescent="0.25">
      <c r="A49" s="332"/>
      <c r="B49" s="310" t="s">
        <v>405</v>
      </c>
      <c r="C49" s="468"/>
      <c r="D49" s="317">
        <v>0.38</v>
      </c>
      <c r="E49" s="303" t="s">
        <v>15</v>
      </c>
      <c r="F49" s="339">
        <f t="shared" si="0"/>
        <v>64192.032000000007</v>
      </c>
    </row>
    <row r="50" spans="1:6" ht="27.75" customHeight="1" x14ac:dyDescent="0.25">
      <c r="A50" s="332"/>
      <c r="B50" s="338" t="s">
        <v>406</v>
      </c>
      <c r="C50" s="310" t="s">
        <v>428</v>
      </c>
      <c r="D50" s="317">
        <v>6.53</v>
      </c>
      <c r="E50" s="303" t="s">
        <v>15</v>
      </c>
      <c r="F50" s="339">
        <f t="shared" si="0"/>
        <v>1103089.392</v>
      </c>
    </row>
    <row r="51" spans="1:6" ht="30" x14ac:dyDescent="0.25">
      <c r="A51" s="332"/>
      <c r="B51" s="310" t="s">
        <v>407</v>
      </c>
      <c r="C51" s="310" t="s">
        <v>422</v>
      </c>
      <c r="D51" s="317">
        <v>8.08</v>
      </c>
      <c r="E51" s="303" t="s">
        <v>15</v>
      </c>
      <c r="F51" s="339">
        <f t="shared" si="0"/>
        <v>1364925.3120000002</v>
      </c>
    </row>
    <row r="52" spans="1:6" x14ac:dyDescent="0.25">
      <c r="A52" s="332"/>
      <c r="B52" s="338" t="s">
        <v>408</v>
      </c>
      <c r="C52" s="310" t="s">
        <v>422</v>
      </c>
      <c r="D52" s="317">
        <v>3.12</v>
      </c>
      <c r="E52" s="303" t="s">
        <v>15</v>
      </c>
      <c r="F52" s="339">
        <f t="shared" si="0"/>
        <v>527050.36800000002</v>
      </c>
    </row>
    <row r="53" spans="1:6" ht="26.25" x14ac:dyDescent="0.25">
      <c r="A53" s="332"/>
      <c r="B53" s="338" t="s">
        <v>409</v>
      </c>
      <c r="C53" s="310" t="s">
        <v>422</v>
      </c>
      <c r="D53" s="317">
        <v>1.5</v>
      </c>
      <c r="E53" s="303" t="s">
        <v>15</v>
      </c>
      <c r="F53" s="339">
        <f t="shared" si="0"/>
        <v>253389.60000000003</v>
      </c>
    </row>
    <row r="54" spans="1:6" ht="51" x14ac:dyDescent="0.25">
      <c r="A54" s="332"/>
      <c r="B54" s="360" t="s">
        <v>410</v>
      </c>
      <c r="C54" s="310" t="s">
        <v>422</v>
      </c>
      <c r="D54" s="317">
        <v>0.44</v>
      </c>
      <c r="E54" s="303" t="s">
        <v>15</v>
      </c>
      <c r="F54" s="339">
        <f t="shared" si="0"/>
        <v>74327.616000000009</v>
      </c>
    </row>
    <row r="55" spans="1:6" ht="29.25" customHeight="1" x14ac:dyDescent="0.25">
      <c r="A55" s="332"/>
      <c r="B55" s="338" t="s">
        <v>411</v>
      </c>
      <c r="C55" s="310" t="s">
        <v>422</v>
      </c>
      <c r="D55" s="317"/>
      <c r="E55" s="303" t="s">
        <v>15</v>
      </c>
      <c r="F55" s="339">
        <f>D55*$H$32*6</f>
        <v>0</v>
      </c>
    </row>
    <row r="56" spans="1:6" ht="39" x14ac:dyDescent="0.25">
      <c r="A56" s="332"/>
      <c r="B56" s="361" t="s">
        <v>412</v>
      </c>
      <c r="C56" s="310" t="s">
        <v>428</v>
      </c>
      <c r="D56" s="317">
        <v>0.19</v>
      </c>
      <c r="E56" s="303" t="s">
        <v>15</v>
      </c>
      <c r="F56" s="339">
        <f t="shared" si="0"/>
        <v>32096.016000000003</v>
      </c>
    </row>
    <row r="57" spans="1:6" ht="26.25" x14ac:dyDescent="0.25">
      <c r="A57" s="332"/>
      <c r="B57" s="338" t="s">
        <v>413</v>
      </c>
      <c r="C57" s="310" t="s">
        <v>423</v>
      </c>
      <c r="D57" s="317">
        <v>1.28</v>
      </c>
      <c r="E57" s="303" t="s">
        <v>15</v>
      </c>
      <c r="F57" s="339">
        <f t="shared" si="0"/>
        <v>216225.79200000002</v>
      </c>
    </row>
    <row r="58" spans="1:6" ht="27" thickBot="1" x14ac:dyDescent="0.3">
      <c r="A58" s="351"/>
      <c r="B58" s="362" t="s">
        <v>414</v>
      </c>
      <c r="C58" s="353" t="s">
        <v>418</v>
      </c>
      <c r="D58" s="354">
        <v>3.41</v>
      </c>
      <c r="E58" s="355" t="s">
        <v>15</v>
      </c>
      <c r="F58" s="339">
        <f t="shared" si="0"/>
        <v>576039.02400000009</v>
      </c>
    </row>
    <row r="59" spans="1:6" x14ac:dyDescent="0.25">
      <c r="A59" s="303"/>
      <c r="B59" s="310"/>
      <c r="C59" s="310"/>
      <c r="D59" s="310"/>
      <c r="E59" s="303"/>
      <c r="F59" s="303"/>
    </row>
    <row r="60" spans="1:6" x14ac:dyDescent="0.25">
      <c r="A60" s="453" t="s">
        <v>53</v>
      </c>
      <c r="B60" s="453"/>
      <c r="C60" s="453"/>
      <c r="D60" s="453"/>
      <c r="E60" s="453"/>
      <c r="F60" s="453"/>
    </row>
    <row r="61" spans="1:6" x14ac:dyDescent="0.25">
      <c r="A61" s="303" t="s">
        <v>61</v>
      </c>
      <c r="B61" s="310" t="s">
        <v>55</v>
      </c>
      <c r="C61" s="310"/>
      <c r="D61" s="310"/>
      <c r="E61" s="303" t="s">
        <v>58</v>
      </c>
      <c r="F61" s="320">
        <v>0</v>
      </c>
    </row>
    <row r="62" spans="1:6" x14ac:dyDescent="0.25">
      <c r="A62" s="303" t="s">
        <v>64</v>
      </c>
      <c r="B62" s="310" t="s">
        <v>57</v>
      </c>
      <c r="C62" s="310"/>
      <c r="D62" s="310"/>
      <c r="E62" s="303" t="s">
        <v>58</v>
      </c>
      <c r="F62" s="320">
        <v>0</v>
      </c>
    </row>
    <row r="63" spans="1:6" ht="30" x14ac:dyDescent="0.25">
      <c r="A63" s="303" t="s">
        <v>65</v>
      </c>
      <c r="B63" s="310" t="s">
        <v>60</v>
      </c>
      <c r="C63" s="310"/>
      <c r="D63" s="310"/>
      <c r="E63" s="303" t="s">
        <v>58</v>
      </c>
      <c r="F63" s="320">
        <v>0</v>
      </c>
    </row>
    <row r="64" spans="1:6" x14ac:dyDescent="0.25">
      <c r="A64" s="303" t="s">
        <v>67</v>
      </c>
      <c r="B64" s="310" t="s">
        <v>62</v>
      </c>
      <c r="C64" s="310"/>
      <c r="D64" s="310"/>
      <c r="E64" s="303" t="s">
        <v>15</v>
      </c>
      <c r="F64" s="320">
        <v>0</v>
      </c>
    </row>
    <row r="65" spans="1:6" x14ac:dyDescent="0.25">
      <c r="A65" s="453" t="s">
        <v>357</v>
      </c>
      <c r="B65" s="453"/>
      <c r="C65" s="453"/>
      <c r="D65" s="453"/>
      <c r="E65" s="453"/>
      <c r="F65" s="453"/>
    </row>
    <row r="66" spans="1:6" ht="30" x14ac:dyDescent="0.25">
      <c r="A66" s="4" t="s">
        <v>68</v>
      </c>
      <c r="B66" s="310" t="s">
        <v>439</v>
      </c>
      <c r="C66" s="310"/>
      <c r="D66" s="310"/>
      <c r="E66" s="303" t="s">
        <v>15</v>
      </c>
      <c r="F66" s="320">
        <v>0</v>
      </c>
    </row>
    <row r="67" spans="1:6" ht="30" x14ac:dyDescent="0.25">
      <c r="A67" s="4" t="s">
        <v>70</v>
      </c>
      <c r="B67" s="310" t="s">
        <v>371</v>
      </c>
      <c r="C67" s="310"/>
      <c r="D67" s="310"/>
      <c r="E67" s="303" t="s">
        <v>15</v>
      </c>
      <c r="F67" s="320">
        <v>0</v>
      </c>
    </row>
    <row r="68" spans="1:6" ht="30" x14ac:dyDescent="0.25">
      <c r="A68" s="4" t="s">
        <v>71</v>
      </c>
      <c r="B68" s="310" t="s">
        <v>440</v>
      </c>
      <c r="C68" s="310"/>
      <c r="D68" s="310"/>
      <c r="E68" s="303" t="s">
        <v>15</v>
      </c>
      <c r="F68" s="331">
        <v>1508204.13</v>
      </c>
    </row>
    <row r="69" spans="1:6" ht="30" x14ac:dyDescent="0.25">
      <c r="A69" s="4" t="s">
        <v>73</v>
      </c>
      <c r="B69" s="310" t="s">
        <v>381</v>
      </c>
      <c r="C69" s="310"/>
      <c r="D69" s="310"/>
      <c r="E69" s="303" t="s">
        <v>15</v>
      </c>
      <c r="F69" s="320">
        <v>0</v>
      </c>
    </row>
    <row r="70" spans="1:6" ht="30" x14ac:dyDescent="0.25">
      <c r="A70" s="4" t="s">
        <v>74</v>
      </c>
      <c r="B70" s="310" t="s">
        <v>441</v>
      </c>
      <c r="C70" s="310"/>
      <c r="D70" s="310"/>
      <c r="E70" s="303" t="s">
        <v>15</v>
      </c>
      <c r="F70" s="320">
        <v>0</v>
      </c>
    </row>
    <row r="71" spans="1:6" ht="30" x14ac:dyDescent="0.25">
      <c r="A71" s="4" t="s">
        <v>75</v>
      </c>
      <c r="B71" s="310" t="s">
        <v>442</v>
      </c>
      <c r="C71" s="310"/>
      <c r="D71" s="310"/>
      <c r="E71" s="303" t="s">
        <v>15</v>
      </c>
      <c r="F71" s="331">
        <f>F78+F89+F100+F111+F68</f>
        <v>1337639.99</v>
      </c>
    </row>
    <row r="72" spans="1:6" x14ac:dyDescent="0.25">
      <c r="A72" s="456" t="s">
        <v>352</v>
      </c>
      <c r="B72" s="456"/>
      <c r="C72" s="456"/>
      <c r="D72" s="456"/>
      <c r="E72" s="456"/>
      <c r="F72" s="456"/>
    </row>
    <row r="73" spans="1:6" x14ac:dyDescent="0.25">
      <c r="A73" s="373" t="s">
        <v>78</v>
      </c>
      <c r="B73" s="374" t="s">
        <v>16</v>
      </c>
      <c r="C73" s="374"/>
      <c r="D73" s="374"/>
      <c r="E73" s="373" t="s">
        <v>5</v>
      </c>
      <c r="F73" s="375" t="s">
        <v>315</v>
      </c>
    </row>
    <row r="74" spans="1:6" x14ac:dyDescent="0.25">
      <c r="A74" s="373" t="s">
        <v>80</v>
      </c>
      <c r="B74" s="374" t="s">
        <v>14</v>
      </c>
      <c r="C74" s="374"/>
      <c r="D74" s="374"/>
      <c r="E74" s="373" t="s">
        <v>5</v>
      </c>
      <c r="F74" s="375" t="s">
        <v>316</v>
      </c>
    </row>
    <row r="75" spans="1:6" x14ac:dyDescent="0.25">
      <c r="A75" s="373" t="s">
        <v>82</v>
      </c>
      <c r="B75" s="374" t="s">
        <v>76</v>
      </c>
      <c r="C75" s="374"/>
      <c r="D75" s="374"/>
      <c r="E75" s="373" t="s">
        <v>77</v>
      </c>
      <c r="F75" s="376">
        <v>517228</v>
      </c>
    </row>
    <row r="76" spans="1:6" x14ac:dyDescent="0.25">
      <c r="A76" s="373" t="s">
        <v>84</v>
      </c>
      <c r="B76" s="374" t="s">
        <v>79</v>
      </c>
      <c r="C76" s="374"/>
      <c r="D76" s="374"/>
      <c r="E76" s="373" t="s">
        <v>15</v>
      </c>
      <c r="F76" s="376">
        <v>1034455.95</v>
      </c>
    </row>
    <row r="77" spans="1:6" x14ac:dyDescent="0.25">
      <c r="A77" s="373" t="s">
        <v>86</v>
      </c>
      <c r="B77" s="374" t="s">
        <v>81</v>
      </c>
      <c r="C77" s="374"/>
      <c r="D77" s="374"/>
      <c r="E77" s="373" t="s">
        <v>15</v>
      </c>
      <c r="F77" s="376">
        <v>1063006.56</v>
      </c>
    </row>
    <row r="78" spans="1:6" x14ac:dyDescent="0.25">
      <c r="A78" s="373" t="s">
        <v>88</v>
      </c>
      <c r="B78" s="374" t="s">
        <v>83</v>
      </c>
      <c r="C78" s="374"/>
      <c r="D78" s="374"/>
      <c r="E78" s="373" t="s">
        <v>15</v>
      </c>
      <c r="F78" s="376">
        <f>F76-F77</f>
        <v>-28550.610000000102</v>
      </c>
    </row>
    <row r="79" spans="1:6" ht="30" x14ac:dyDescent="0.25">
      <c r="A79" s="373" t="s">
        <v>90</v>
      </c>
      <c r="B79" s="374" t="s">
        <v>85</v>
      </c>
      <c r="C79" s="374"/>
      <c r="D79" s="374"/>
      <c r="E79" s="373" t="s">
        <v>15</v>
      </c>
      <c r="F79" s="376">
        <v>1028336.95</v>
      </c>
    </row>
    <row r="80" spans="1:6" ht="30" x14ac:dyDescent="0.25">
      <c r="A80" s="373" t="s">
        <v>93</v>
      </c>
      <c r="B80" s="374" t="s">
        <v>87</v>
      </c>
      <c r="C80" s="374"/>
      <c r="D80" s="374"/>
      <c r="E80" s="373" t="s">
        <v>15</v>
      </c>
      <c r="F80" s="376">
        <v>928736.74</v>
      </c>
    </row>
    <row r="81" spans="1:6" ht="30" x14ac:dyDescent="0.25">
      <c r="A81" s="373" t="s">
        <v>94</v>
      </c>
      <c r="B81" s="374" t="s">
        <v>89</v>
      </c>
      <c r="C81" s="374"/>
      <c r="D81" s="374"/>
      <c r="E81" s="373" t="s">
        <v>15</v>
      </c>
      <c r="F81" s="376">
        <v>100600.21</v>
      </c>
    </row>
    <row r="82" spans="1:6" ht="45" x14ac:dyDescent="0.25">
      <c r="A82" s="373" t="s">
        <v>95</v>
      </c>
      <c r="B82" s="374" t="s">
        <v>444</v>
      </c>
      <c r="C82" s="374"/>
      <c r="D82" s="374"/>
      <c r="E82" s="373" t="s">
        <v>15</v>
      </c>
      <c r="F82" s="376">
        <v>985</v>
      </c>
    </row>
    <row r="83" spans="1:6" x14ac:dyDescent="0.25">
      <c r="A83" s="456" t="s">
        <v>72</v>
      </c>
      <c r="B83" s="456"/>
      <c r="C83" s="456"/>
      <c r="D83" s="456"/>
      <c r="E83" s="456"/>
      <c r="F83" s="456"/>
    </row>
    <row r="84" spans="1:6" x14ac:dyDescent="0.25">
      <c r="A84" s="373" t="s">
        <v>78</v>
      </c>
      <c r="B84" s="374" t="s">
        <v>16</v>
      </c>
      <c r="C84" s="374"/>
      <c r="D84" s="374"/>
      <c r="E84" s="373" t="s">
        <v>5</v>
      </c>
      <c r="F84" s="388" t="s">
        <v>332</v>
      </c>
    </row>
    <row r="85" spans="1:6" x14ac:dyDescent="0.25">
      <c r="A85" s="373" t="s">
        <v>80</v>
      </c>
      <c r="B85" s="374" t="s">
        <v>14</v>
      </c>
      <c r="C85" s="374"/>
      <c r="D85" s="374"/>
      <c r="E85" s="373" t="s">
        <v>5</v>
      </c>
      <c r="F85" s="388" t="s">
        <v>331</v>
      </c>
    </row>
    <row r="86" spans="1:6" x14ac:dyDescent="0.25">
      <c r="A86" s="373" t="s">
        <v>82</v>
      </c>
      <c r="B86" s="374" t="s">
        <v>76</v>
      </c>
      <c r="C86" s="374"/>
      <c r="D86" s="374"/>
      <c r="E86" s="373" t="s">
        <v>77</v>
      </c>
      <c r="F86" s="376">
        <v>14325</v>
      </c>
    </row>
    <row r="87" spans="1:6" x14ac:dyDescent="0.25">
      <c r="A87" s="373" t="s">
        <v>84</v>
      </c>
      <c r="B87" s="374" t="s">
        <v>79</v>
      </c>
      <c r="C87" s="374"/>
      <c r="D87" s="374"/>
      <c r="E87" s="373" t="s">
        <v>15</v>
      </c>
      <c r="F87" s="376">
        <f>686882.69+429016</f>
        <v>1115898.69</v>
      </c>
    </row>
    <row r="88" spans="1:6" x14ac:dyDescent="0.25">
      <c r="A88" s="373" t="s">
        <v>86</v>
      </c>
      <c r="B88" s="374" t="s">
        <v>81</v>
      </c>
      <c r="C88" s="374"/>
      <c r="D88" s="374"/>
      <c r="E88" s="373" t="s">
        <v>15</v>
      </c>
      <c r="F88" s="376">
        <v>1098677.92</v>
      </c>
    </row>
    <row r="89" spans="1:6" ht="27.75" customHeight="1" x14ac:dyDescent="0.25">
      <c r="A89" s="373" t="s">
        <v>88</v>
      </c>
      <c r="B89" s="374" t="s">
        <v>83</v>
      </c>
      <c r="C89" s="374"/>
      <c r="D89" s="374"/>
      <c r="E89" s="373" t="s">
        <v>15</v>
      </c>
      <c r="F89" s="376">
        <f>F87-F88</f>
        <v>17220.770000000019</v>
      </c>
    </row>
    <row r="90" spans="1:6" ht="30" x14ac:dyDescent="0.25">
      <c r="A90" s="373" t="s">
        <v>90</v>
      </c>
      <c r="B90" s="374" t="s">
        <v>85</v>
      </c>
      <c r="C90" s="374"/>
      <c r="D90" s="374"/>
      <c r="E90" s="373" t="s">
        <v>15</v>
      </c>
      <c r="F90" s="376">
        <v>1128822.3600000001</v>
      </c>
    </row>
    <row r="91" spans="1:6" ht="30" x14ac:dyDescent="0.25">
      <c r="A91" s="373" t="s">
        <v>93</v>
      </c>
      <c r="B91" s="374" t="s">
        <v>87</v>
      </c>
      <c r="C91" s="374"/>
      <c r="D91" s="374"/>
      <c r="E91" s="373" t="s">
        <v>15</v>
      </c>
      <c r="F91" s="376">
        <v>1029900.98</v>
      </c>
    </row>
    <row r="92" spans="1:6" ht="30" x14ac:dyDescent="0.25">
      <c r="A92" s="373" t="s">
        <v>94</v>
      </c>
      <c r="B92" s="374" t="s">
        <v>89</v>
      </c>
      <c r="C92" s="374"/>
      <c r="D92" s="374"/>
      <c r="E92" s="373" t="s">
        <v>15</v>
      </c>
      <c r="F92" s="376">
        <v>98921.38</v>
      </c>
    </row>
    <row r="93" spans="1:6" ht="45" x14ac:dyDescent="0.25">
      <c r="A93" s="373" t="s">
        <v>95</v>
      </c>
      <c r="B93" s="374" t="s">
        <v>444</v>
      </c>
      <c r="C93" s="374"/>
      <c r="D93" s="374"/>
      <c r="E93" s="373" t="s">
        <v>15</v>
      </c>
      <c r="F93" s="376" t="s">
        <v>5</v>
      </c>
    </row>
    <row r="94" spans="1:6" ht="26.25" customHeight="1" x14ac:dyDescent="0.25">
      <c r="A94" s="453" t="s">
        <v>72</v>
      </c>
      <c r="B94" s="453"/>
      <c r="C94" s="453"/>
      <c r="D94" s="453"/>
      <c r="E94" s="453"/>
      <c r="F94" s="453"/>
    </row>
    <row r="95" spans="1:6" x14ac:dyDescent="0.25">
      <c r="A95" s="303" t="s">
        <v>78</v>
      </c>
      <c r="B95" s="310" t="s">
        <v>16</v>
      </c>
      <c r="C95" s="310"/>
      <c r="D95" s="310"/>
      <c r="E95" s="303" t="s">
        <v>5</v>
      </c>
      <c r="F95" s="302" t="s">
        <v>342</v>
      </c>
    </row>
    <row r="96" spans="1:6" x14ac:dyDescent="0.25">
      <c r="A96" s="303" t="s">
        <v>80</v>
      </c>
      <c r="B96" s="310" t="s">
        <v>14</v>
      </c>
      <c r="C96" s="310"/>
      <c r="D96" s="310"/>
      <c r="E96" s="303" t="s">
        <v>5</v>
      </c>
      <c r="F96" s="302" t="s">
        <v>331</v>
      </c>
    </row>
    <row r="97" spans="1:6" x14ac:dyDescent="0.25">
      <c r="A97" s="303" t="s">
        <v>82</v>
      </c>
      <c r="B97" s="310" t="s">
        <v>76</v>
      </c>
      <c r="C97" s="310"/>
      <c r="D97" s="310"/>
      <c r="E97" s="303" t="s">
        <v>77</v>
      </c>
      <c r="F97" s="311">
        <v>23033</v>
      </c>
    </row>
    <row r="98" spans="1:6" x14ac:dyDescent="0.25">
      <c r="A98" s="303" t="s">
        <v>84</v>
      </c>
      <c r="B98" s="310" t="s">
        <v>79</v>
      </c>
      <c r="C98" s="310"/>
      <c r="D98" s="310"/>
      <c r="E98" s="303" t="s">
        <v>15</v>
      </c>
      <c r="F98" s="327">
        <v>1198183.29</v>
      </c>
    </row>
    <row r="99" spans="1:6" x14ac:dyDescent="0.25">
      <c r="A99" s="303" t="s">
        <v>86</v>
      </c>
      <c r="B99" s="310" t="s">
        <v>81</v>
      </c>
      <c r="C99" s="310"/>
      <c r="D99" s="310"/>
      <c r="E99" s="303" t="s">
        <v>15</v>
      </c>
      <c r="F99" s="327">
        <v>1184289.19</v>
      </c>
    </row>
    <row r="100" spans="1:6" x14ac:dyDescent="0.25">
      <c r="A100" s="303" t="s">
        <v>88</v>
      </c>
      <c r="B100" s="310" t="s">
        <v>83</v>
      </c>
      <c r="C100" s="310"/>
      <c r="D100" s="310"/>
      <c r="E100" s="303" t="s">
        <v>15</v>
      </c>
      <c r="F100" s="311">
        <f>F98-F99</f>
        <v>13894.100000000093</v>
      </c>
    </row>
    <row r="101" spans="1:6" ht="30" x14ac:dyDescent="0.25">
      <c r="A101" s="303" t="s">
        <v>90</v>
      </c>
      <c r="B101" s="310" t="s">
        <v>85</v>
      </c>
      <c r="C101" s="310"/>
      <c r="D101" s="310"/>
      <c r="E101" s="303" t="s">
        <v>15</v>
      </c>
      <c r="F101" s="311">
        <v>1208449.94</v>
      </c>
    </row>
    <row r="102" spans="1:6" ht="30" x14ac:dyDescent="0.25">
      <c r="A102" s="303" t="s">
        <v>93</v>
      </c>
      <c r="B102" s="310" t="s">
        <v>87</v>
      </c>
      <c r="C102" s="310"/>
      <c r="D102" s="310"/>
      <c r="E102" s="303" t="s">
        <v>15</v>
      </c>
      <c r="F102" s="311">
        <v>1115726.06</v>
      </c>
    </row>
    <row r="103" spans="1:6" ht="30" x14ac:dyDescent="0.25">
      <c r="A103" s="303" t="s">
        <v>94</v>
      </c>
      <c r="B103" s="310" t="s">
        <v>89</v>
      </c>
      <c r="C103" s="310"/>
      <c r="D103" s="310"/>
      <c r="E103" s="303" t="s">
        <v>15</v>
      </c>
      <c r="F103" s="311">
        <v>92723.88</v>
      </c>
    </row>
    <row r="104" spans="1:6" ht="45" x14ac:dyDescent="0.25">
      <c r="A104" s="303" t="s">
        <v>95</v>
      </c>
      <c r="B104" s="310" t="s">
        <v>444</v>
      </c>
      <c r="C104" s="310"/>
      <c r="D104" s="310"/>
      <c r="E104" s="303" t="s">
        <v>15</v>
      </c>
      <c r="F104" s="311">
        <v>133170.29999999999</v>
      </c>
    </row>
    <row r="105" spans="1:6" x14ac:dyDescent="0.25">
      <c r="A105" s="453" t="s">
        <v>72</v>
      </c>
      <c r="B105" s="453"/>
      <c r="C105" s="453"/>
      <c r="D105" s="453"/>
      <c r="E105" s="453"/>
      <c r="F105" s="453"/>
    </row>
    <row r="106" spans="1:6" x14ac:dyDescent="0.25">
      <c r="A106" s="303" t="s">
        <v>78</v>
      </c>
      <c r="B106" s="310" t="s">
        <v>16</v>
      </c>
      <c r="C106" s="310"/>
      <c r="D106" s="310"/>
      <c r="E106" s="303" t="s">
        <v>5</v>
      </c>
      <c r="F106" s="302" t="s">
        <v>323</v>
      </c>
    </row>
    <row r="107" spans="1:6" x14ac:dyDescent="0.25">
      <c r="A107" s="303" t="s">
        <v>80</v>
      </c>
      <c r="B107" s="310" t="s">
        <v>14</v>
      </c>
      <c r="C107" s="310"/>
      <c r="D107" s="310"/>
      <c r="E107" s="303" t="s">
        <v>5</v>
      </c>
      <c r="F107" s="302" t="s">
        <v>341</v>
      </c>
    </row>
    <row r="108" spans="1:6" x14ac:dyDescent="0.25">
      <c r="A108" s="303" t="s">
        <v>82</v>
      </c>
      <c r="B108" s="310" t="s">
        <v>76</v>
      </c>
      <c r="C108" s="310"/>
      <c r="D108" s="310"/>
      <c r="E108" s="303" t="s">
        <v>77</v>
      </c>
      <c r="F108" s="311">
        <v>1770.71</v>
      </c>
    </row>
    <row r="109" spans="1:6" x14ac:dyDescent="0.25">
      <c r="A109" s="303" t="s">
        <v>84</v>
      </c>
      <c r="B109" s="310" t="s">
        <v>79</v>
      </c>
      <c r="C109" s="310"/>
      <c r="D109" s="310"/>
      <c r="E109" s="303" t="s">
        <v>15</v>
      </c>
      <c r="F109" s="311">
        <v>3279859.36</v>
      </c>
    </row>
    <row r="110" spans="1:6" x14ac:dyDescent="0.25">
      <c r="A110" s="303" t="s">
        <v>86</v>
      </c>
      <c r="B110" s="310" t="s">
        <v>81</v>
      </c>
      <c r="C110" s="310"/>
      <c r="D110" s="310"/>
      <c r="E110" s="303" t="s">
        <v>15</v>
      </c>
      <c r="F110" s="311">
        <v>3452987.76</v>
      </c>
    </row>
    <row r="111" spans="1:6" x14ac:dyDescent="0.25">
      <c r="A111" s="303" t="s">
        <v>88</v>
      </c>
      <c r="B111" s="310" t="s">
        <v>83</v>
      </c>
      <c r="C111" s="310"/>
      <c r="D111" s="310"/>
      <c r="E111" s="303" t="s">
        <v>15</v>
      </c>
      <c r="F111" s="311">
        <f>F109-F110</f>
        <v>-173128.39999999991</v>
      </c>
    </row>
    <row r="112" spans="1:6" ht="30" x14ac:dyDescent="0.25">
      <c r="A112" s="303" t="s">
        <v>90</v>
      </c>
      <c r="B112" s="310" t="s">
        <v>85</v>
      </c>
      <c r="C112" s="310"/>
      <c r="D112" s="310"/>
      <c r="E112" s="303" t="s">
        <v>15</v>
      </c>
      <c r="F112" s="311">
        <v>3296783.2</v>
      </c>
    </row>
    <row r="113" spans="1:6" ht="30" x14ac:dyDescent="0.25">
      <c r="A113" s="303" t="s">
        <v>93</v>
      </c>
      <c r="B113" s="310" t="s">
        <v>87</v>
      </c>
      <c r="C113" s="310"/>
      <c r="D113" s="310"/>
      <c r="E113" s="303" t="s">
        <v>15</v>
      </c>
      <c r="F113" s="311">
        <v>2824585.62</v>
      </c>
    </row>
    <row r="114" spans="1:6" ht="30" x14ac:dyDescent="0.25">
      <c r="A114" s="303" t="s">
        <v>94</v>
      </c>
      <c r="B114" s="310" t="s">
        <v>89</v>
      </c>
      <c r="C114" s="310"/>
      <c r="D114" s="310"/>
      <c r="E114" s="303" t="s">
        <v>15</v>
      </c>
      <c r="F114" s="311">
        <v>472197.58</v>
      </c>
    </row>
    <row r="115" spans="1:6" ht="45" x14ac:dyDescent="0.25">
      <c r="A115" s="303" t="s">
        <v>95</v>
      </c>
      <c r="B115" s="310" t="s">
        <v>444</v>
      </c>
      <c r="C115" s="310"/>
      <c r="D115" s="310"/>
      <c r="E115" s="303" t="s">
        <v>15</v>
      </c>
      <c r="F115" s="311">
        <v>0</v>
      </c>
    </row>
    <row r="116" spans="1:6" x14ac:dyDescent="0.25">
      <c r="A116" s="474" t="s">
        <v>92</v>
      </c>
      <c r="B116" s="474"/>
      <c r="C116" s="474"/>
      <c r="D116" s="474"/>
      <c r="E116" s="474"/>
      <c r="F116" s="474"/>
    </row>
    <row r="117" spans="1:6" x14ac:dyDescent="0.25">
      <c r="A117" s="6" t="s">
        <v>96</v>
      </c>
      <c r="B117" s="124" t="s">
        <v>55</v>
      </c>
      <c r="C117" s="124"/>
      <c r="D117" s="124"/>
      <c r="E117" s="6" t="s">
        <v>58</v>
      </c>
      <c r="F117" s="288">
        <v>0</v>
      </c>
    </row>
    <row r="118" spans="1:6" x14ac:dyDescent="0.25">
      <c r="A118" s="4" t="s">
        <v>98</v>
      </c>
      <c r="B118" s="5" t="s">
        <v>57</v>
      </c>
      <c r="C118" s="5"/>
      <c r="D118" s="5"/>
      <c r="E118" s="4" t="s">
        <v>58</v>
      </c>
      <c r="F118" s="287">
        <v>0</v>
      </c>
    </row>
    <row r="119" spans="1:6" ht="30" x14ac:dyDescent="0.25">
      <c r="A119" s="4" t="s">
        <v>100</v>
      </c>
      <c r="B119" s="5" t="s">
        <v>60</v>
      </c>
      <c r="C119" s="5"/>
      <c r="D119" s="5"/>
      <c r="E119" s="4" t="s">
        <v>58</v>
      </c>
      <c r="F119" s="287">
        <v>0</v>
      </c>
    </row>
    <row r="120" spans="1:6" x14ac:dyDescent="0.25">
      <c r="A120" s="4" t="s">
        <v>102</v>
      </c>
      <c r="B120" s="5" t="s">
        <v>62</v>
      </c>
      <c r="C120" s="5"/>
      <c r="D120" s="5"/>
      <c r="E120" s="4" t="s">
        <v>15</v>
      </c>
      <c r="F120" s="287">
        <v>0</v>
      </c>
    </row>
    <row r="121" spans="1:6" x14ac:dyDescent="0.25">
      <c r="A121" s="444" t="s">
        <v>97</v>
      </c>
      <c r="B121" s="444"/>
      <c r="C121" s="444"/>
      <c r="D121" s="444"/>
      <c r="E121" s="444"/>
      <c r="F121" s="444"/>
    </row>
    <row r="122" spans="1:6" ht="30" x14ac:dyDescent="0.25">
      <c r="A122" s="4" t="s">
        <v>446</v>
      </c>
      <c r="B122" s="5" t="s">
        <v>99</v>
      </c>
      <c r="C122" s="5"/>
      <c r="D122" s="5"/>
      <c r="E122" s="4" t="s">
        <v>58</v>
      </c>
      <c r="F122" s="296"/>
    </row>
    <row r="123" spans="1:6" x14ac:dyDescent="0.25">
      <c r="A123" s="4" t="s">
        <v>447</v>
      </c>
      <c r="B123" s="5" t="s">
        <v>101</v>
      </c>
      <c r="C123" s="5"/>
      <c r="D123" s="5"/>
      <c r="E123" s="4" t="s">
        <v>58</v>
      </c>
      <c r="F123" s="296"/>
    </row>
    <row r="124" spans="1:6" ht="30" x14ac:dyDescent="0.25">
      <c r="A124" s="4" t="s">
        <v>448</v>
      </c>
      <c r="B124" s="5" t="s">
        <v>103</v>
      </c>
      <c r="C124" s="5"/>
      <c r="D124" s="5"/>
      <c r="E124" s="4" t="s">
        <v>15</v>
      </c>
      <c r="F124" s="294"/>
    </row>
    <row r="125" spans="1:6" x14ac:dyDescent="0.25">
      <c r="B125" s="1"/>
      <c r="C125" s="1"/>
      <c r="D125" s="1"/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</sheetData>
  <mergeCells count="14">
    <mergeCell ref="A116:F116"/>
    <mergeCell ref="A121:F121"/>
    <mergeCell ref="A60:F60"/>
    <mergeCell ref="A65:F65"/>
    <mergeCell ref="A72:F72"/>
    <mergeCell ref="A83:F83"/>
    <mergeCell ref="A94:F94"/>
    <mergeCell ref="A105:F105"/>
    <mergeCell ref="C47:C49"/>
    <mergeCell ref="A1:F1"/>
    <mergeCell ref="A6:F6"/>
    <mergeCell ref="A24:F24"/>
    <mergeCell ref="C32:C35"/>
    <mergeCell ref="C39:C4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59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3"/>
  <sheetViews>
    <sheetView view="pageBreakPreview" topLeftCell="A65" zoomScaleNormal="100" zoomScaleSheetLayoutView="100" workbookViewId="0">
      <selection activeCell="G65" sqref="G1:O1048576"/>
    </sheetView>
  </sheetViews>
  <sheetFormatPr defaultRowHeight="15" x14ac:dyDescent="0.25"/>
  <cols>
    <col min="1" max="1" width="3.85546875" customWidth="1"/>
    <col min="2" max="3" width="46.140625" customWidth="1"/>
    <col min="4" max="4" width="13.5703125" customWidth="1"/>
    <col min="5" max="5" width="10.42578125" customWidth="1"/>
    <col min="6" max="6" width="18.28515625" customWidth="1"/>
    <col min="7" max="7" width="15.7109375" hidden="1" customWidth="1"/>
    <col min="8" max="15" width="0" hidden="1" customWidth="1"/>
  </cols>
  <sheetData>
    <row r="1" spans="1:6" ht="38.25" customHeight="1" x14ac:dyDescent="0.25">
      <c r="A1" s="470" t="s">
        <v>482</v>
      </c>
      <c r="B1" s="470"/>
      <c r="C1" s="470"/>
      <c r="D1" s="470"/>
      <c r="E1" s="470"/>
      <c r="F1" s="470"/>
    </row>
    <row r="2" spans="1:6" ht="45" x14ac:dyDescent="0.25">
      <c r="A2" s="301" t="s">
        <v>0</v>
      </c>
      <c r="B2" s="302" t="s">
        <v>1</v>
      </c>
      <c r="C2" s="302" t="s">
        <v>105</v>
      </c>
      <c r="D2" s="304" t="s">
        <v>433</v>
      </c>
      <c r="E2" s="302" t="s">
        <v>2</v>
      </c>
      <c r="F2" s="302" t="s">
        <v>3</v>
      </c>
    </row>
    <row r="3" spans="1:6" x14ac:dyDescent="0.25">
      <c r="A3" s="303" t="s">
        <v>4</v>
      </c>
      <c r="B3" s="304" t="s">
        <v>6</v>
      </c>
      <c r="C3" s="304" t="s">
        <v>468</v>
      </c>
      <c r="D3" s="304"/>
      <c r="E3" s="303" t="s">
        <v>5</v>
      </c>
      <c r="F3" s="306"/>
    </row>
    <row r="4" spans="1:6" x14ac:dyDescent="0.25">
      <c r="A4" s="307" t="s">
        <v>7</v>
      </c>
      <c r="B4" s="304" t="s">
        <v>21</v>
      </c>
      <c r="C4" s="304" t="s">
        <v>483</v>
      </c>
      <c r="D4" s="304"/>
      <c r="E4" s="303" t="s">
        <v>5</v>
      </c>
      <c r="F4" s="303"/>
    </row>
    <row r="5" spans="1:6" x14ac:dyDescent="0.25">
      <c r="A5" s="307" t="s">
        <v>8</v>
      </c>
      <c r="B5" s="304" t="s">
        <v>22</v>
      </c>
      <c r="C5" s="304" t="s">
        <v>470</v>
      </c>
      <c r="D5" s="304"/>
      <c r="E5" s="303" t="s">
        <v>5</v>
      </c>
      <c r="F5" s="303"/>
    </row>
    <row r="6" spans="1:6" ht="30.75" customHeight="1" x14ac:dyDescent="0.25">
      <c r="A6" s="462" t="s">
        <v>363</v>
      </c>
      <c r="B6" s="462"/>
      <c r="C6" s="462"/>
      <c r="D6" s="462"/>
      <c r="E6" s="462"/>
      <c r="F6" s="462"/>
    </row>
    <row r="7" spans="1:6" s="273" customFormat="1" ht="30.75" customHeight="1" x14ac:dyDescent="0.25">
      <c r="A7" s="308" t="s">
        <v>9</v>
      </c>
      <c r="B7" s="308" t="s">
        <v>370</v>
      </c>
      <c r="C7" s="308"/>
      <c r="D7" s="308"/>
      <c r="E7" s="303" t="s">
        <v>15</v>
      </c>
      <c r="F7" s="309"/>
    </row>
    <row r="8" spans="1:6" ht="30" x14ac:dyDescent="0.25">
      <c r="A8" s="303" t="s">
        <v>10</v>
      </c>
      <c r="B8" s="310" t="s">
        <v>43</v>
      </c>
      <c r="C8" s="310"/>
      <c r="D8" s="310"/>
      <c r="E8" s="303" t="s">
        <v>15</v>
      </c>
      <c r="F8" s="303"/>
    </row>
    <row r="9" spans="1:6" ht="30" x14ac:dyDescent="0.25">
      <c r="A9" s="303" t="s">
        <v>11</v>
      </c>
      <c r="B9" s="310" t="s">
        <v>374</v>
      </c>
      <c r="C9" s="310"/>
      <c r="D9" s="310"/>
      <c r="E9" s="303" t="s">
        <v>15</v>
      </c>
      <c r="F9" s="311">
        <v>6075958.0599999996</v>
      </c>
    </row>
    <row r="10" spans="1:6" ht="33.75" customHeight="1" x14ac:dyDescent="0.25">
      <c r="A10" s="303" t="s">
        <v>12</v>
      </c>
      <c r="B10" s="310" t="s">
        <v>25</v>
      </c>
      <c r="C10" s="310"/>
      <c r="D10" s="310">
        <v>32.69</v>
      </c>
      <c r="E10" s="303" t="s">
        <v>15</v>
      </c>
      <c r="F10" s="326">
        <f>D10*H32*H33</f>
        <v>31893148.559999999</v>
      </c>
    </row>
    <row r="11" spans="1:6" x14ac:dyDescent="0.25">
      <c r="A11" s="303" t="s">
        <v>13</v>
      </c>
      <c r="B11" s="310" t="s">
        <v>26</v>
      </c>
      <c r="C11" s="310"/>
      <c r="D11" s="310"/>
      <c r="E11" s="303" t="s">
        <v>15</v>
      </c>
      <c r="F11" s="311"/>
    </row>
    <row r="12" spans="1:6" x14ac:dyDescent="0.25">
      <c r="A12" s="303" t="s">
        <v>17</v>
      </c>
      <c r="B12" s="310" t="s">
        <v>27</v>
      </c>
      <c r="C12" s="310"/>
      <c r="D12" s="310"/>
      <c r="E12" s="303" t="s">
        <v>15</v>
      </c>
      <c r="F12" s="311"/>
    </row>
    <row r="13" spans="1:6" x14ac:dyDescent="0.25">
      <c r="A13" s="303" t="s">
        <v>18</v>
      </c>
      <c r="B13" s="310" t="s">
        <v>28</v>
      </c>
      <c r="C13" s="310"/>
      <c r="D13" s="310">
        <f>3.41</f>
        <v>3.41</v>
      </c>
      <c r="E13" s="303" t="s">
        <v>15</v>
      </c>
      <c r="F13" s="311">
        <f>D13*H32*H33</f>
        <v>3326877.84</v>
      </c>
    </row>
    <row r="14" spans="1:6" x14ac:dyDescent="0.25">
      <c r="A14" s="303" t="s">
        <v>19</v>
      </c>
      <c r="B14" s="310" t="s">
        <v>29</v>
      </c>
      <c r="C14" s="310"/>
      <c r="D14" s="310"/>
      <c r="E14" s="303" t="s">
        <v>15</v>
      </c>
      <c r="F14" s="326"/>
    </row>
    <row r="15" spans="1:6" x14ac:dyDescent="0.25">
      <c r="A15" s="303" t="s">
        <v>20</v>
      </c>
      <c r="B15" s="310" t="s">
        <v>30</v>
      </c>
      <c r="C15" s="310"/>
      <c r="D15" s="310"/>
      <c r="E15" s="303" t="s">
        <v>15</v>
      </c>
      <c r="F15" s="311">
        <v>31840034.780000001</v>
      </c>
    </row>
    <row r="16" spans="1:6" x14ac:dyDescent="0.25">
      <c r="A16" s="303" t="s">
        <v>31</v>
      </c>
      <c r="B16" s="310" t="s">
        <v>32</v>
      </c>
      <c r="C16" s="310"/>
      <c r="D16" s="310"/>
      <c r="E16" s="303" t="s">
        <v>15</v>
      </c>
      <c r="F16" s="311"/>
    </row>
    <row r="17" spans="1:9" x14ac:dyDescent="0.25">
      <c r="A17" s="303" t="s">
        <v>33</v>
      </c>
      <c r="B17" s="310" t="s">
        <v>34</v>
      </c>
      <c r="C17" s="310"/>
      <c r="D17" s="310"/>
      <c r="E17" s="303" t="s">
        <v>15</v>
      </c>
      <c r="F17" s="311"/>
    </row>
    <row r="18" spans="1:9" ht="30" x14ac:dyDescent="0.25">
      <c r="A18" s="303" t="s">
        <v>35</v>
      </c>
      <c r="B18" s="310" t="s">
        <v>36</v>
      </c>
      <c r="C18" s="310"/>
      <c r="D18" s="310"/>
      <c r="E18" s="303" t="s">
        <v>15</v>
      </c>
      <c r="F18" s="311"/>
    </row>
    <row r="19" spans="1:9" x14ac:dyDescent="0.25">
      <c r="A19" s="303" t="s">
        <v>38</v>
      </c>
      <c r="B19" s="310" t="s">
        <v>37</v>
      </c>
      <c r="C19" s="310"/>
      <c r="D19" s="310"/>
      <c r="E19" s="303" t="s">
        <v>15</v>
      </c>
      <c r="F19" s="311"/>
    </row>
    <row r="20" spans="1:9" x14ac:dyDescent="0.25">
      <c r="A20" s="303" t="s">
        <v>39</v>
      </c>
      <c r="B20" s="310" t="s">
        <v>40</v>
      </c>
      <c r="C20" s="310"/>
      <c r="D20" s="310"/>
      <c r="E20" s="303" t="s">
        <v>15</v>
      </c>
      <c r="F20" s="311"/>
    </row>
    <row r="21" spans="1:9" ht="30" x14ac:dyDescent="0.25">
      <c r="A21" s="303" t="s">
        <v>41</v>
      </c>
      <c r="B21" s="310" t="s">
        <v>381</v>
      </c>
      <c r="C21" s="310"/>
      <c r="D21" s="310"/>
      <c r="E21" s="303" t="s">
        <v>383</v>
      </c>
      <c r="F21" s="311"/>
    </row>
    <row r="22" spans="1:9" ht="30" x14ac:dyDescent="0.25">
      <c r="A22" s="303" t="s">
        <v>44</v>
      </c>
      <c r="B22" s="310" t="s">
        <v>42</v>
      </c>
      <c r="C22" s="310"/>
      <c r="D22" s="310"/>
      <c r="E22" s="303" t="s">
        <v>15</v>
      </c>
      <c r="F22" s="311"/>
    </row>
    <row r="23" spans="1:9" ht="21" customHeight="1" thickBot="1" x14ac:dyDescent="0.3">
      <c r="A23" s="315" t="s">
        <v>45</v>
      </c>
      <c r="B23" s="316" t="s">
        <v>382</v>
      </c>
      <c r="C23" s="316"/>
      <c r="D23" s="316"/>
      <c r="E23" s="315" t="s">
        <v>15</v>
      </c>
      <c r="F23" s="328">
        <f>F9+F10-F15</f>
        <v>6129071.8399999961</v>
      </c>
    </row>
    <row r="24" spans="1:9" ht="44.25" customHeight="1" x14ac:dyDescent="0.25">
      <c r="A24" s="464" t="s">
        <v>46</v>
      </c>
      <c r="B24" s="465"/>
      <c r="C24" s="465"/>
      <c r="D24" s="465"/>
      <c r="E24" s="465"/>
      <c r="F24" s="471"/>
    </row>
    <row r="25" spans="1:9" x14ac:dyDescent="0.25">
      <c r="A25" s="332" t="s">
        <v>47</v>
      </c>
      <c r="B25" s="310" t="s">
        <v>48</v>
      </c>
      <c r="C25" s="310"/>
      <c r="D25" s="310"/>
      <c r="E25" s="303" t="s">
        <v>5</v>
      </c>
      <c r="F25" s="333"/>
    </row>
    <row r="26" spans="1:9" x14ac:dyDescent="0.25">
      <c r="A26" s="332" t="s">
        <v>49</v>
      </c>
      <c r="B26" s="310" t="s">
        <v>387</v>
      </c>
      <c r="C26" s="310"/>
      <c r="D26" s="304">
        <v>32.69</v>
      </c>
      <c r="E26" s="303" t="s">
        <v>5</v>
      </c>
      <c r="F26" s="368">
        <f>D26*H32*H33</f>
        <v>31893148.559999999</v>
      </c>
    </row>
    <row r="27" spans="1:9" hidden="1" x14ac:dyDescent="0.25">
      <c r="A27" s="332" t="s">
        <v>51</v>
      </c>
      <c r="B27" s="310" t="s">
        <v>48</v>
      </c>
      <c r="C27" s="310"/>
      <c r="D27" s="310"/>
      <c r="E27" s="303" t="s">
        <v>5</v>
      </c>
      <c r="F27" s="333"/>
    </row>
    <row r="28" spans="1:9" ht="30" hidden="1" x14ac:dyDescent="0.25">
      <c r="A28" s="332" t="s">
        <v>54</v>
      </c>
      <c r="B28" s="310" t="s">
        <v>415</v>
      </c>
      <c r="C28" s="310"/>
      <c r="D28" s="310"/>
      <c r="E28" s="303"/>
      <c r="F28" s="333"/>
    </row>
    <row r="29" spans="1:9" hidden="1" x14ac:dyDescent="0.25">
      <c r="A29" s="332" t="s">
        <v>56</v>
      </c>
      <c r="B29" s="310" t="s">
        <v>416</v>
      </c>
      <c r="C29" s="310"/>
      <c r="D29" s="310"/>
      <c r="E29" s="303"/>
      <c r="F29" s="333"/>
    </row>
    <row r="30" spans="1:9" hidden="1" x14ac:dyDescent="0.25">
      <c r="A30" s="332" t="s">
        <v>59</v>
      </c>
      <c r="B30" s="310" t="s">
        <v>417</v>
      </c>
      <c r="C30" s="310"/>
      <c r="D30" s="310"/>
      <c r="E30" s="303"/>
      <c r="F30" s="333"/>
    </row>
    <row r="31" spans="1:9" ht="27" hidden="1" customHeight="1" x14ac:dyDescent="0.25">
      <c r="A31" s="332"/>
      <c r="B31" s="304" t="s">
        <v>429</v>
      </c>
      <c r="C31" s="304" t="s">
        <v>430</v>
      </c>
      <c r="D31" s="304" t="s">
        <v>433</v>
      </c>
      <c r="E31" s="303"/>
      <c r="F31" s="333"/>
    </row>
    <row r="32" spans="1:9" ht="26.25" customHeight="1" x14ac:dyDescent="0.25">
      <c r="A32" s="332"/>
      <c r="B32" s="338" t="s">
        <v>388</v>
      </c>
      <c r="C32" s="468" t="s">
        <v>419</v>
      </c>
      <c r="D32" s="369">
        <v>3.24</v>
      </c>
      <c r="E32" s="303" t="s">
        <v>15</v>
      </c>
      <c r="F32" s="339">
        <f>D32*H32*H33</f>
        <v>3161021.7600000007</v>
      </c>
      <c r="H32">
        <f>81302</f>
        <v>81302</v>
      </c>
      <c r="I32">
        <f>68368.8+7756.5</f>
        <v>76125.3</v>
      </c>
    </row>
    <row r="33" spans="1:8" ht="18.75" customHeight="1" x14ac:dyDescent="0.25">
      <c r="A33" s="332"/>
      <c r="B33" s="338" t="s">
        <v>434</v>
      </c>
      <c r="C33" s="468"/>
      <c r="D33" s="369"/>
      <c r="E33" s="303" t="s">
        <v>15</v>
      </c>
      <c r="F33" s="339">
        <f t="shared" ref="F33:F44" si="0">D33*$H$32*$H$33</f>
        <v>0</v>
      </c>
      <c r="H33">
        <v>12</v>
      </c>
    </row>
    <row r="34" spans="1:8" x14ac:dyDescent="0.25">
      <c r="A34" s="332"/>
      <c r="B34" s="310" t="s">
        <v>390</v>
      </c>
      <c r="C34" s="468"/>
      <c r="D34" s="369">
        <v>0.3</v>
      </c>
      <c r="E34" s="303" t="s">
        <v>15</v>
      </c>
      <c r="F34" s="339">
        <f>D34*H32*H33</f>
        <v>292687.19999999995</v>
      </c>
    </row>
    <row r="35" spans="1:8" x14ac:dyDescent="0.25">
      <c r="A35" s="332"/>
      <c r="B35" s="310" t="s">
        <v>391</v>
      </c>
      <c r="C35" s="468"/>
      <c r="D35" s="369">
        <v>0.04</v>
      </c>
      <c r="E35" s="303" t="s">
        <v>15</v>
      </c>
      <c r="F35" s="339">
        <f>D35*H32*H33</f>
        <v>39024.959999999999</v>
      </c>
    </row>
    <row r="36" spans="1:8" x14ac:dyDescent="0.25">
      <c r="A36" s="332"/>
      <c r="B36" s="310" t="s">
        <v>392</v>
      </c>
      <c r="C36" s="310" t="s">
        <v>418</v>
      </c>
      <c r="D36" s="369">
        <v>1.36</v>
      </c>
      <c r="E36" s="303" t="s">
        <v>15</v>
      </c>
      <c r="F36" s="339">
        <f>D36*H32*H33</f>
        <v>1326848.6400000001</v>
      </c>
    </row>
    <row r="37" spans="1:8" ht="45" customHeight="1" x14ac:dyDescent="0.25">
      <c r="A37" s="332"/>
      <c r="B37" s="310" t="s">
        <v>393</v>
      </c>
      <c r="C37" s="310" t="s">
        <v>424</v>
      </c>
      <c r="D37" s="369">
        <v>0.17</v>
      </c>
      <c r="E37" s="303" t="s">
        <v>15</v>
      </c>
      <c r="F37" s="339">
        <f>D37*H32*H33</f>
        <v>165856.08000000002</v>
      </c>
    </row>
    <row r="38" spans="1:8" ht="26.25" customHeight="1" x14ac:dyDescent="0.25">
      <c r="A38" s="332"/>
      <c r="B38" s="310" t="s">
        <v>394</v>
      </c>
      <c r="C38" s="310" t="s">
        <v>425</v>
      </c>
      <c r="D38" s="369">
        <v>0.52</v>
      </c>
      <c r="E38" s="303" t="s">
        <v>15</v>
      </c>
      <c r="F38" s="339">
        <f>D38*H32*H33</f>
        <v>507324.48</v>
      </c>
    </row>
    <row r="39" spans="1:8" ht="26.25" x14ac:dyDescent="0.25">
      <c r="A39" s="332"/>
      <c r="B39" s="338" t="s">
        <v>395</v>
      </c>
      <c r="C39" s="481" t="s">
        <v>426</v>
      </c>
      <c r="D39" s="369">
        <v>2.44</v>
      </c>
      <c r="E39" s="303" t="s">
        <v>15</v>
      </c>
      <c r="F39" s="339">
        <f>D39*H32*H33</f>
        <v>2380522.56</v>
      </c>
    </row>
    <row r="40" spans="1:8" ht="26.25" customHeight="1" x14ac:dyDescent="0.25">
      <c r="A40" s="332"/>
      <c r="B40" s="310" t="s">
        <v>396</v>
      </c>
      <c r="C40" s="482"/>
      <c r="D40" s="369">
        <v>1.49</v>
      </c>
      <c r="E40" s="303" t="s">
        <v>15</v>
      </c>
      <c r="F40" s="339">
        <f>D40*H32*H33</f>
        <v>1453679.76</v>
      </c>
    </row>
    <row r="41" spans="1:8" ht="26.25" x14ac:dyDescent="0.25">
      <c r="A41" s="332"/>
      <c r="B41" s="338" t="s">
        <v>397</v>
      </c>
      <c r="C41" s="482"/>
      <c r="D41" s="369">
        <v>0.71</v>
      </c>
      <c r="E41" s="303" t="s">
        <v>15</v>
      </c>
      <c r="F41" s="339">
        <f>D41*H32*H33</f>
        <v>692693.04</v>
      </c>
    </row>
    <row r="42" spans="1:8" ht="26.25" x14ac:dyDescent="0.25">
      <c r="A42" s="332"/>
      <c r="B42" s="359" t="s">
        <v>398</v>
      </c>
      <c r="C42" s="483"/>
      <c r="D42" s="369">
        <v>0.31</v>
      </c>
      <c r="E42" s="303" t="s">
        <v>15</v>
      </c>
      <c r="F42" s="339">
        <f>D42*H32*H33</f>
        <v>302443.44</v>
      </c>
    </row>
    <row r="43" spans="1:8" x14ac:dyDescent="0.25">
      <c r="A43" s="332"/>
      <c r="B43" s="338" t="s">
        <v>399</v>
      </c>
      <c r="C43" s="310"/>
      <c r="D43" s="369">
        <v>7.0000000000000007E-2</v>
      </c>
      <c r="E43" s="303" t="s">
        <v>15</v>
      </c>
      <c r="F43" s="339">
        <f>D43*H32*H33</f>
        <v>68293.680000000008</v>
      </c>
    </row>
    <row r="44" spans="1:8" x14ac:dyDescent="0.25">
      <c r="A44" s="332"/>
      <c r="B44" s="338" t="s">
        <v>400</v>
      </c>
      <c r="C44" s="310"/>
      <c r="D44" s="369"/>
      <c r="E44" s="303" t="s">
        <v>15</v>
      </c>
      <c r="F44" s="339">
        <f t="shared" si="0"/>
        <v>0</v>
      </c>
    </row>
    <row r="45" spans="1:8" x14ac:dyDescent="0.25">
      <c r="A45" s="332"/>
      <c r="B45" s="338" t="s">
        <v>401</v>
      </c>
      <c r="C45" s="310"/>
      <c r="D45" s="369">
        <v>0.19</v>
      </c>
      <c r="E45" s="303" t="s">
        <v>15</v>
      </c>
      <c r="F45" s="339">
        <f>D45*H32*H33</f>
        <v>185368.56</v>
      </c>
    </row>
    <row r="46" spans="1:8" ht="15" customHeight="1" x14ac:dyDescent="0.25">
      <c r="A46" s="332"/>
      <c r="B46" s="338" t="s">
        <v>402</v>
      </c>
      <c r="C46" s="310"/>
      <c r="D46" s="369">
        <v>0.05</v>
      </c>
      <c r="E46" s="303" t="s">
        <v>15</v>
      </c>
      <c r="F46" s="339">
        <f>D46*H32*H33</f>
        <v>48781.200000000004</v>
      </c>
    </row>
    <row r="47" spans="1:8" x14ac:dyDescent="0.25">
      <c r="A47" s="332"/>
      <c r="B47" s="338" t="s">
        <v>403</v>
      </c>
      <c r="C47" s="468" t="s">
        <v>427</v>
      </c>
      <c r="D47" s="369">
        <v>0.2</v>
      </c>
      <c r="E47" s="303" t="s">
        <v>15</v>
      </c>
      <c r="F47" s="339">
        <f>D47*H32*H33</f>
        <v>195124.80000000002</v>
      </c>
    </row>
    <row r="48" spans="1:8" ht="28.5" customHeight="1" x14ac:dyDescent="0.25">
      <c r="A48" s="332"/>
      <c r="B48" s="310" t="s">
        <v>404</v>
      </c>
      <c r="C48" s="468"/>
      <c r="D48" s="369">
        <v>0.19</v>
      </c>
      <c r="E48" s="303" t="s">
        <v>15</v>
      </c>
      <c r="F48" s="339">
        <f>D48*H32*H33</f>
        <v>185368.56</v>
      </c>
    </row>
    <row r="49" spans="1:6" ht="30" x14ac:dyDescent="0.25">
      <c r="A49" s="332"/>
      <c r="B49" s="310" t="s">
        <v>405</v>
      </c>
      <c r="C49" s="468"/>
      <c r="D49" s="369">
        <v>0.2</v>
      </c>
      <c r="E49" s="303" t="s">
        <v>15</v>
      </c>
      <c r="F49" s="339">
        <f>D49*H32*H33</f>
        <v>195124.80000000002</v>
      </c>
    </row>
    <row r="50" spans="1:6" x14ac:dyDescent="0.25">
      <c r="A50" s="332"/>
      <c r="B50" s="338" t="s">
        <v>406</v>
      </c>
      <c r="C50" s="310" t="s">
        <v>428</v>
      </c>
      <c r="D50" s="369">
        <v>6.53</v>
      </c>
      <c r="E50" s="303" t="s">
        <v>15</v>
      </c>
      <c r="F50" s="339">
        <f>D50*H32*H33</f>
        <v>6370824.7200000007</v>
      </c>
    </row>
    <row r="51" spans="1:6" ht="30" x14ac:dyDescent="0.25">
      <c r="A51" s="332"/>
      <c r="B51" s="310" t="s">
        <v>407</v>
      </c>
      <c r="C51" s="310" t="s">
        <v>422</v>
      </c>
      <c r="D51" s="369">
        <v>6.4</v>
      </c>
      <c r="E51" s="303" t="s">
        <v>15</v>
      </c>
      <c r="F51" s="339">
        <f>D51*H32*H33</f>
        <v>6243993.6000000006</v>
      </c>
    </row>
    <row r="52" spans="1:6" ht="30" customHeight="1" x14ac:dyDescent="0.25">
      <c r="A52" s="332"/>
      <c r="B52" s="338" t="s">
        <v>408</v>
      </c>
      <c r="C52" s="310" t="s">
        <v>422</v>
      </c>
      <c r="D52" s="369">
        <v>1.49</v>
      </c>
      <c r="E52" s="303" t="s">
        <v>15</v>
      </c>
      <c r="F52" s="339">
        <f>D52*H32*H33</f>
        <v>1453679.76</v>
      </c>
    </row>
    <row r="53" spans="1:6" ht="26.25" x14ac:dyDescent="0.25">
      <c r="A53" s="332"/>
      <c r="B53" s="338" t="s">
        <v>409</v>
      </c>
      <c r="C53" s="310" t="s">
        <v>422</v>
      </c>
      <c r="D53" s="369">
        <v>0.84</v>
      </c>
      <c r="E53" s="303" t="s">
        <v>15</v>
      </c>
      <c r="F53" s="339">
        <f>D53*H32*H33</f>
        <v>819524.15999999992</v>
      </c>
    </row>
    <row r="54" spans="1:6" ht="51" x14ac:dyDescent="0.25">
      <c r="A54" s="332"/>
      <c r="B54" s="360" t="s">
        <v>410</v>
      </c>
      <c r="C54" s="310" t="s">
        <v>422</v>
      </c>
      <c r="D54" s="369">
        <v>0.44</v>
      </c>
      <c r="E54" s="303" t="s">
        <v>15</v>
      </c>
      <c r="F54" s="339">
        <f>H32*H33</f>
        <v>975624</v>
      </c>
    </row>
    <row r="55" spans="1:6" ht="26.25" x14ac:dyDescent="0.25">
      <c r="A55" s="332"/>
      <c r="B55" s="338" t="s">
        <v>411</v>
      </c>
      <c r="C55" s="310" t="s">
        <v>422</v>
      </c>
      <c r="D55" s="369"/>
      <c r="E55" s="303" t="s">
        <v>15</v>
      </c>
      <c r="F55" s="339"/>
    </row>
    <row r="56" spans="1:6" ht="39" x14ac:dyDescent="0.25">
      <c r="A56" s="332"/>
      <c r="B56" s="361" t="s">
        <v>412</v>
      </c>
      <c r="C56" s="310" t="s">
        <v>428</v>
      </c>
      <c r="D56" s="369">
        <v>0.19</v>
      </c>
      <c r="E56" s="303" t="s">
        <v>15</v>
      </c>
      <c r="F56" s="339">
        <f>D56*H32*H33</f>
        <v>185368.56</v>
      </c>
    </row>
    <row r="57" spans="1:6" ht="39" x14ac:dyDescent="0.25">
      <c r="A57" s="332"/>
      <c r="B57" s="361" t="s">
        <v>435</v>
      </c>
      <c r="C57" s="310"/>
      <c r="D57" s="369">
        <v>0.94</v>
      </c>
      <c r="E57" s="303"/>
      <c r="F57" s="339">
        <f>D57*H32*H33</f>
        <v>917086.55999999982</v>
      </c>
    </row>
    <row r="58" spans="1:6" ht="26.25" x14ac:dyDescent="0.25">
      <c r="A58" s="332"/>
      <c r="B58" s="338" t="s">
        <v>413</v>
      </c>
      <c r="C58" s="310" t="s">
        <v>423</v>
      </c>
      <c r="D58" s="369">
        <v>1.28</v>
      </c>
      <c r="E58" s="303" t="s">
        <v>15</v>
      </c>
      <c r="F58" s="339">
        <f>D58*H32*H33</f>
        <v>1248798.72</v>
      </c>
    </row>
    <row r="59" spans="1:6" ht="27" thickBot="1" x14ac:dyDescent="0.3">
      <c r="A59" s="370"/>
      <c r="B59" s="362" t="s">
        <v>414</v>
      </c>
      <c r="C59" s="353" t="s">
        <v>418</v>
      </c>
      <c r="D59" s="371">
        <v>3.41</v>
      </c>
      <c r="E59" s="372" t="s">
        <v>15</v>
      </c>
      <c r="F59" s="339">
        <f>D59*H32*H33</f>
        <v>3326877.84</v>
      </c>
    </row>
    <row r="60" spans="1:6" ht="28.5" customHeight="1" x14ac:dyDescent="0.25">
      <c r="A60" s="477" t="s">
        <v>53</v>
      </c>
      <c r="B60" s="478"/>
      <c r="C60" s="478"/>
      <c r="D60" s="478"/>
      <c r="E60" s="478"/>
      <c r="F60" s="478"/>
    </row>
    <row r="61" spans="1:6" x14ac:dyDescent="0.25">
      <c r="A61" s="373" t="s">
        <v>61</v>
      </c>
      <c r="B61" s="374" t="s">
        <v>55</v>
      </c>
      <c r="C61" s="374"/>
      <c r="D61" s="374"/>
      <c r="E61" s="373" t="s">
        <v>58</v>
      </c>
      <c r="F61" s="379">
        <v>0</v>
      </c>
    </row>
    <row r="62" spans="1:6" x14ac:dyDescent="0.25">
      <c r="A62" s="373" t="s">
        <v>64</v>
      </c>
      <c r="B62" s="374" t="s">
        <v>57</v>
      </c>
      <c r="C62" s="374"/>
      <c r="D62" s="374"/>
      <c r="E62" s="373" t="s">
        <v>58</v>
      </c>
      <c r="F62" s="379">
        <v>0</v>
      </c>
    </row>
    <row r="63" spans="1:6" ht="30" x14ac:dyDescent="0.25">
      <c r="A63" s="373" t="s">
        <v>65</v>
      </c>
      <c r="B63" s="374" t="s">
        <v>60</v>
      </c>
      <c r="C63" s="374"/>
      <c r="D63" s="374"/>
      <c r="E63" s="373" t="s">
        <v>58</v>
      </c>
      <c r="F63" s="379">
        <v>0</v>
      </c>
    </row>
    <row r="64" spans="1:6" x14ac:dyDescent="0.25">
      <c r="A64" s="373" t="s">
        <v>67</v>
      </c>
      <c r="B64" s="374" t="s">
        <v>62</v>
      </c>
      <c r="C64" s="374"/>
      <c r="D64" s="374"/>
      <c r="E64" s="373" t="s">
        <v>15</v>
      </c>
      <c r="F64" s="379">
        <v>0</v>
      </c>
    </row>
    <row r="65" spans="1:7" ht="15" customHeight="1" x14ac:dyDescent="0.25">
      <c r="A65" s="479" t="s">
        <v>358</v>
      </c>
      <c r="B65" s="480"/>
      <c r="C65" s="480"/>
      <c r="D65" s="480"/>
      <c r="E65" s="480"/>
      <c r="F65" s="480"/>
    </row>
    <row r="66" spans="1:7" ht="28.5" customHeight="1" x14ac:dyDescent="0.25">
      <c r="A66" s="373" t="s">
        <v>68</v>
      </c>
      <c r="B66" s="374" t="s">
        <v>439</v>
      </c>
      <c r="C66" s="374"/>
      <c r="D66" s="374"/>
      <c r="E66" s="373" t="s">
        <v>15</v>
      </c>
      <c r="F66" s="376">
        <v>0</v>
      </c>
    </row>
    <row r="67" spans="1:7" ht="30" x14ac:dyDescent="0.25">
      <c r="A67" s="373" t="s">
        <v>70</v>
      </c>
      <c r="B67" s="374" t="s">
        <v>371</v>
      </c>
      <c r="C67" s="374"/>
      <c r="D67" s="374"/>
      <c r="E67" s="373" t="s">
        <v>15</v>
      </c>
      <c r="F67" s="376">
        <v>0</v>
      </c>
    </row>
    <row r="68" spans="1:7" ht="30" x14ac:dyDescent="0.25">
      <c r="A68" s="373" t="s">
        <v>71</v>
      </c>
      <c r="B68" s="374" t="s">
        <v>440</v>
      </c>
      <c r="C68" s="374"/>
      <c r="D68" s="374"/>
      <c r="E68" s="373" t="s">
        <v>15</v>
      </c>
      <c r="F68" s="376">
        <v>6725465.6900000004</v>
      </c>
    </row>
    <row r="69" spans="1:7" ht="30" x14ac:dyDescent="0.25">
      <c r="A69" s="373" t="s">
        <v>73</v>
      </c>
      <c r="B69" s="374" t="s">
        <v>381</v>
      </c>
      <c r="C69" s="374"/>
      <c r="D69" s="374"/>
      <c r="E69" s="373" t="s">
        <v>15</v>
      </c>
      <c r="F69" s="376">
        <v>0</v>
      </c>
    </row>
    <row r="70" spans="1:7" ht="30" x14ac:dyDescent="0.25">
      <c r="A70" s="373" t="s">
        <v>74</v>
      </c>
      <c r="B70" s="374" t="s">
        <v>441</v>
      </c>
      <c r="C70" s="374"/>
      <c r="D70" s="374"/>
      <c r="E70" s="373" t="s">
        <v>15</v>
      </c>
      <c r="F70" s="376"/>
    </row>
    <row r="71" spans="1:7" ht="30" x14ac:dyDescent="0.25">
      <c r="A71" s="373" t="s">
        <v>75</v>
      </c>
      <c r="B71" s="374" t="s">
        <v>442</v>
      </c>
      <c r="C71" s="374"/>
      <c r="D71" s="374"/>
      <c r="E71" s="373" t="s">
        <v>15</v>
      </c>
      <c r="F71" s="376">
        <f>F78+F89+F100+F111+F68</f>
        <v>6723824.7499999991</v>
      </c>
    </row>
    <row r="72" spans="1:7" ht="31.5" customHeight="1" x14ac:dyDescent="0.25">
      <c r="A72" s="479" t="s">
        <v>353</v>
      </c>
      <c r="B72" s="480"/>
      <c r="C72" s="480"/>
      <c r="D72" s="480"/>
      <c r="E72" s="480"/>
      <c r="F72" s="480"/>
    </row>
    <row r="73" spans="1:7" x14ac:dyDescent="0.25">
      <c r="A73" s="373" t="s">
        <v>78</v>
      </c>
      <c r="B73" s="374" t="s">
        <v>16</v>
      </c>
      <c r="C73" s="374"/>
      <c r="D73" s="374"/>
      <c r="E73" s="373" t="s">
        <v>5</v>
      </c>
      <c r="F73" s="375" t="s">
        <v>344</v>
      </c>
    </row>
    <row r="74" spans="1:7" ht="30" customHeight="1" x14ac:dyDescent="0.25">
      <c r="A74" s="373" t="s">
        <v>80</v>
      </c>
      <c r="B74" s="374" t="s">
        <v>14</v>
      </c>
      <c r="C74" s="374"/>
      <c r="D74" s="374"/>
      <c r="E74" s="373" t="s">
        <v>5</v>
      </c>
      <c r="F74" s="375" t="s">
        <v>316</v>
      </c>
    </row>
    <row r="75" spans="1:7" ht="24" customHeight="1" x14ac:dyDescent="0.25">
      <c r="A75" s="373" t="s">
        <v>82</v>
      </c>
      <c r="B75" s="374" t="s">
        <v>76</v>
      </c>
      <c r="C75" s="374"/>
      <c r="D75" s="374"/>
      <c r="E75" s="373" t="s">
        <v>77</v>
      </c>
      <c r="F75" s="376">
        <f>F76/D76</f>
        <v>4176927.2250000001</v>
      </c>
      <c r="G75" s="290">
        <f>F10+F76+F87+F98+F109</f>
        <v>72111374</v>
      </c>
    </row>
    <row r="76" spans="1:7" ht="20.25" customHeight="1" x14ac:dyDescent="0.25">
      <c r="A76" s="373" t="s">
        <v>84</v>
      </c>
      <c r="B76" s="374" t="s">
        <v>79</v>
      </c>
      <c r="C76" s="374"/>
      <c r="D76" s="374">
        <v>2</v>
      </c>
      <c r="E76" s="373" t="s">
        <v>15</v>
      </c>
      <c r="F76" s="376">
        <v>8353854.4500000002</v>
      </c>
      <c r="G76" s="290">
        <f>F15+F77+F88+F99+F110</f>
        <v>72059901.160000011</v>
      </c>
    </row>
    <row r="77" spans="1:7" ht="31.5" customHeight="1" x14ac:dyDescent="0.25">
      <c r="A77" s="373" t="s">
        <v>86</v>
      </c>
      <c r="B77" s="374" t="s">
        <v>81</v>
      </c>
      <c r="C77" s="374"/>
      <c r="D77" s="374"/>
      <c r="E77" s="373" t="s">
        <v>15</v>
      </c>
      <c r="F77" s="376">
        <v>8354891.6299999999</v>
      </c>
    </row>
    <row r="78" spans="1:7" ht="21" customHeight="1" x14ac:dyDescent="0.25">
      <c r="A78" s="373" t="s">
        <v>88</v>
      </c>
      <c r="B78" s="374" t="s">
        <v>83</v>
      </c>
      <c r="C78" s="374"/>
      <c r="D78" s="374"/>
      <c r="E78" s="373" t="s">
        <v>15</v>
      </c>
      <c r="F78" s="376">
        <f>F76-F77</f>
        <v>-1037.179999999702</v>
      </c>
    </row>
    <row r="79" spans="1:7" ht="29.25" customHeight="1" x14ac:dyDescent="0.25">
      <c r="A79" s="373" t="s">
        <v>90</v>
      </c>
      <c r="B79" s="374" t="s">
        <v>85</v>
      </c>
      <c r="C79" s="374"/>
      <c r="D79" s="374"/>
      <c r="E79" s="373" t="s">
        <v>15</v>
      </c>
      <c r="F79" s="376">
        <v>8338430.4500000002</v>
      </c>
      <c r="G79" s="290"/>
    </row>
    <row r="80" spans="1:7" ht="30" x14ac:dyDescent="0.25">
      <c r="A80" s="373" t="s">
        <v>93</v>
      </c>
      <c r="B80" s="374" t="s">
        <v>87</v>
      </c>
      <c r="C80" s="374"/>
      <c r="D80" s="374"/>
      <c r="E80" s="373" t="s">
        <v>15</v>
      </c>
      <c r="F80" s="376">
        <v>7506133.4800000004</v>
      </c>
    </row>
    <row r="81" spans="1:7" ht="30" x14ac:dyDescent="0.25">
      <c r="A81" s="373" t="s">
        <v>94</v>
      </c>
      <c r="B81" s="374" t="s">
        <v>89</v>
      </c>
      <c r="C81" s="374"/>
      <c r="D81" s="374"/>
      <c r="E81" s="373" t="s">
        <v>15</v>
      </c>
      <c r="F81" s="376">
        <v>832296.97</v>
      </c>
      <c r="G81" s="290"/>
    </row>
    <row r="82" spans="1:7" ht="33.75" customHeight="1" x14ac:dyDescent="0.25">
      <c r="A82" s="373" t="s">
        <v>95</v>
      </c>
      <c r="B82" s="374" t="s">
        <v>444</v>
      </c>
      <c r="C82" s="374"/>
      <c r="D82" s="374"/>
      <c r="E82" s="373" t="s">
        <v>15</v>
      </c>
      <c r="F82" s="376">
        <v>6400.79</v>
      </c>
    </row>
    <row r="83" spans="1:7" ht="30.75" customHeight="1" x14ac:dyDescent="0.25">
      <c r="A83" s="479" t="s">
        <v>72</v>
      </c>
      <c r="B83" s="480"/>
      <c r="C83" s="480"/>
      <c r="D83" s="480"/>
      <c r="E83" s="480"/>
      <c r="F83" s="480"/>
    </row>
    <row r="84" spans="1:7" ht="24.75" customHeight="1" x14ac:dyDescent="0.25">
      <c r="A84" s="373" t="s">
        <v>78</v>
      </c>
      <c r="B84" s="374" t="s">
        <v>16</v>
      </c>
      <c r="C84" s="374"/>
      <c r="D84" s="374"/>
      <c r="E84" s="373" t="s">
        <v>5</v>
      </c>
      <c r="F84" s="393" t="s">
        <v>332</v>
      </c>
    </row>
    <row r="85" spans="1:7" ht="21" customHeight="1" x14ac:dyDescent="0.25">
      <c r="A85" s="373" t="s">
        <v>80</v>
      </c>
      <c r="B85" s="374" t="s">
        <v>14</v>
      </c>
      <c r="C85" s="374"/>
      <c r="D85" s="374"/>
      <c r="E85" s="373" t="s">
        <v>5</v>
      </c>
      <c r="F85" s="393" t="s">
        <v>331</v>
      </c>
    </row>
    <row r="86" spans="1:7" ht="21.75" customHeight="1" x14ac:dyDescent="0.25">
      <c r="A86" s="373" t="s">
        <v>82</v>
      </c>
      <c r="B86" s="374" t="s">
        <v>76</v>
      </c>
      <c r="C86" s="374"/>
      <c r="D86" s="374"/>
      <c r="E86" s="373" t="s">
        <v>77</v>
      </c>
      <c r="F86" s="376">
        <f>F87/D87</f>
        <v>129482.27132429613</v>
      </c>
    </row>
    <row r="87" spans="1:7" ht="22.5" customHeight="1" x14ac:dyDescent="0.25">
      <c r="A87" s="373" t="s">
        <v>84</v>
      </c>
      <c r="B87" s="374" t="s">
        <v>79</v>
      </c>
      <c r="C87" s="374"/>
      <c r="D87" s="374">
        <v>47.95</v>
      </c>
      <c r="E87" s="373" t="s">
        <v>15</v>
      </c>
      <c r="F87" s="376">
        <f>4205220.24+2003454.67</f>
        <v>6208674.9100000001</v>
      </c>
    </row>
    <row r="88" spans="1:7" ht="18" customHeight="1" x14ac:dyDescent="0.25">
      <c r="A88" s="373" t="s">
        <v>86</v>
      </c>
      <c r="B88" s="374" t="s">
        <v>81</v>
      </c>
      <c r="C88" s="374"/>
      <c r="D88" s="374"/>
      <c r="E88" s="373" t="s">
        <v>15</v>
      </c>
      <c r="F88" s="376">
        <v>6210053.7800000003</v>
      </c>
      <c r="G88" s="290"/>
    </row>
    <row r="89" spans="1:7" ht="21" customHeight="1" x14ac:dyDescent="0.25">
      <c r="A89" s="373" t="s">
        <v>88</v>
      </c>
      <c r="B89" s="374" t="s">
        <v>83</v>
      </c>
      <c r="C89" s="374"/>
      <c r="D89" s="374"/>
      <c r="E89" s="373" t="s">
        <v>15</v>
      </c>
      <c r="F89" s="376">
        <f>F87-F88</f>
        <v>-1378.8700000001118</v>
      </c>
    </row>
    <row r="90" spans="1:7" ht="27" customHeight="1" x14ac:dyDescent="0.25">
      <c r="A90" s="373" t="s">
        <v>90</v>
      </c>
      <c r="B90" s="374" t="s">
        <v>85</v>
      </c>
      <c r="C90" s="374"/>
      <c r="D90" s="374"/>
      <c r="E90" s="373" t="s">
        <v>15</v>
      </c>
      <c r="F90" s="376">
        <v>5912880.9800000004</v>
      </c>
      <c r="G90" s="290"/>
    </row>
    <row r="91" spans="1:7" ht="26.25" customHeight="1" x14ac:dyDescent="0.25">
      <c r="A91" s="373" t="s">
        <v>93</v>
      </c>
      <c r="B91" s="374" t="s">
        <v>87</v>
      </c>
      <c r="C91" s="374"/>
      <c r="D91" s="374"/>
      <c r="E91" s="373" t="s">
        <v>15</v>
      </c>
      <c r="F91" s="376">
        <v>5486117.5499999998</v>
      </c>
      <c r="G91" s="290"/>
    </row>
    <row r="92" spans="1:7" ht="27" customHeight="1" x14ac:dyDescent="0.25">
      <c r="A92" s="373" t="s">
        <v>94</v>
      </c>
      <c r="B92" s="374" t="s">
        <v>89</v>
      </c>
      <c r="C92" s="374"/>
      <c r="D92" s="374"/>
      <c r="E92" s="373" t="s">
        <v>15</v>
      </c>
      <c r="F92" s="376">
        <v>426763.43</v>
      </c>
      <c r="G92" s="290"/>
    </row>
    <row r="93" spans="1:7" ht="30.75" customHeight="1" x14ac:dyDescent="0.25">
      <c r="A93" s="373" t="s">
        <v>95</v>
      </c>
      <c r="B93" s="374" t="s">
        <v>444</v>
      </c>
      <c r="C93" s="374"/>
      <c r="D93" s="374"/>
      <c r="E93" s="373" t="s">
        <v>15</v>
      </c>
      <c r="F93" s="376">
        <v>0</v>
      </c>
    </row>
    <row r="94" spans="1:7" ht="29.25" customHeight="1" x14ac:dyDescent="0.25">
      <c r="A94" s="477" t="s">
        <v>72</v>
      </c>
      <c r="B94" s="478"/>
      <c r="C94" s="478"/>
      <c r="D94" s="478"/>
      <c r="E94" s="478"/>
      <c r="F94" s="478"/>
    </row>
    <row r="95" spans="1:7" ht="21" customHeight="1" x14ac:dyDescent="0.25">
      <c r="A95" s="303" t="s">
        <v>78</v>
      </c>
      <c r="B95" s="310" t="s">
        <v>16</v>
      </c>
      <c r="C95" s="310"/>
      <c r="D95" s="310"/>
      <c r="E95" s="303" t="s">
        <v>5</v>
      </c>
      <c r="F95" s="302" t="s">
        <v>345</v>
      </c>
    </row>
    <row r="96" spans="1:7" ht="22.5" customHeight="1" x14ac:dyDescent="0.25">
      <c r="A96" s="303" t="s">
        <v>80</v>
      </c>
      <c r="B96" s="310" t="s">
        <v>14</v>
      </c>
      <c r="C96" s="310"/>
      <c r="D96" s="310"/>
      <c r="E96" s="303" t="s">
        <v>5</v>
      </c>
      <c r="F96" s="302" t="s">
        <v>331</v>
      </c>
    </row>
    <row r="97" spans="1:6" ht="23.25" customHeight="1" x14ac:dyDescent="0.25">
      <c r="A97" s="303" t="s">
        <v>82</v>
      </c>
      <c r="B97" s="310" t="s">
        <v>76</v>
      </c>
      <c r="C97" s="310"/>
      <c r="D97" s="310"/>
      <c r="E97" s="303" t="s">
        <v>77</v>
      </c>
      <c r="F97" s="311">
        <f>F98/D98</f>
        <v>124211.68281430218</v>
      </c>
    </row>
    <row r="98" spans="1:6" ht="22.5" customHeight="1" x14ac:dyDescent="0.25">
      <c r="A98" s="303" t="s">
        <v>84</v>
      </c>
      <c r="B98" s="310" t="s">
        <v>79</v>
      </c>
      <c r="C98" s="310"/>
      <c r="D98" s="310">
        <v>52.02</v>
      </c>
      <c r="E98" s="303" t="s">
        <v>15</v>
      </c>
      <c r="F98" s="311">
        <v>6461491.7400000002</v>
      </c>
    </row>
    <row r="99" spans="1:6" ht="24.75" customHeight="1" x14ac:dyDescent="0.25">
      <c r="A99" s="303" t="s">
        <v>86</v>
      </c>
      <c r="B99" s="310" t="s">
        <v>81</v>
      </c>
      <c r="C99" s="310"/>
      <c r="D99" s="310"/>
      <c r="E99" s="303" t="s">
        <v>15</v>
      </c>
      <c r="F99" s="311">
        <v>6459453.5300000003</v>
      </c>
    </row>
    <row r="100" spans="1:6" ht="22.5" customHeight="1" x14ac:dyDescent="0.25">
      <c r="A100" s="303" t="s">
        <v>88</v>
      </c>
      <c r="B100" s="310" t="s">
        <v>83</v>
      </c>
      <c r="C100" s="310"/>
      <c r="D100" s="310"/>
      <c r="E100" s="303" t="s">
        <v>15</v>
      </c>
      <c r="F100" s="311">
        <f>F98-F99</f>
        <v>2038.2099999999627</v>
      </c>
    </row>
    <row r="101" spans="1:6" ht="30" customHeight="1" x14ac:dyDescent="0.25">
      <c r="A101" s="303" t="s">
        <v>90</v>
      </c>
      <c r="B101" s="310" t="s">
        <v>85</v>
      </c>
      <c r="C101" s="310"/>
      <c r="D101" s="310"/>
      <c r="E101" s="303" t="s">
        <v>15</v>
      </c>
      <c r="F101" s="311">
        <v>6319101.3499999996</v>
      </c>
    </row>
    <row r="102" spans="1:6" ht="29.25" customHeight="1" x14ac:dyDescent="0.25">
      <c r="A102" s="303" t="s">
        <v>93</v>
      </c>
      <c r="B102" s="310" t="s">
        <v>87</v>
      </c>
      <c r="C102" s="310"/>
      <c r="D102" s="310"/>
      <c r="E102" s="303" t="s">
        <v>15</v>
      </c>
      <c r="F102" s="311">
        <v>5943294.0199999996</v>
      </c>
    </row>
    <row r="103" spans="1:6" ht="28.5" customHeight="1" x14ac:dyDescent="0.25">
      <c r="A103" s="303" t="s">
        <v>94</v>
      </c>
      <c r="B103" s="310" t="s">
        <v>89</v>
      </c>
      <c r="C103" s="310"/>
      <c r="D103" s="310"/>
      <c r="E103" s="303" t="s">
        <v>15</v>
      </c>
      <c r="F103" s="311">
        <v>375807.33</v>
      </c>
    </row>
    <row r="104" spans="1:6" ht="27" customHeight="1" x14ac:dyDescent="0.25">
      <c r="A104" s="303" t="s">
        <v>95</v>
      </c>
      <c r="B104" s="310" t="s">
        <v>444</v>
      </c>
      <c r="C104" s="310"/>
      <c r="D104" s="310"/>
      <c r="E104" s="303" t="s">
        <v>15</v>
      </c>
      <c r="F104" s="311">
        <v>0</v>
      </c>
    </row>
    <row r="105" spans="1:6" ht="27" customHeight="1" x14ac:dyDescent="0.25">
      <c r="A105" s="477" t="s">
        <v>72</v>
      </c>
      <c r="B105" s="478"/>
      <c r="C105" s="478"/>
      <c r="D105" s="478"/>
      <c r="E105" s="478"/>
      <c r="F105" s="478"/>
    </row>
    <row r="106" spans="1:6" ht="27" customHeight="1" x14ac:dyDescent="0.25">
      <c r="A106" s="303" t="s">
        <v>78</v>
      </c>
      <c r="B106" s="310" t="s">
        <v>16</v>
      </c>
      <c r="C106" s="310"/>
      <c r="D106" s="310"/>
      <c r="E106" s="303" t="s">
        <v>5</v>
      </c>
      <c r="F106" s="302" t="s">
        <v>323</v>
      </c>
    </row>
    <row r="107" spans="1:6" ht="18" customHeight="1" x14ac:dyDescent="0.25">
      <c r="A107" s="303" t="s">
        <v>80</v>
      </c>
      <c r="B107" s="310" t="s">
        <v>14</v>
      </c>
      <c r="C107" s="310"/>
      <c r="D107" s="310"/>
      <c r="E107" s="303" t="s">
        <v>5</v>
      </c>
      <c r="F107" s="302" t="s">
        <v>341</v>
      </c>
    </row>
    <row r="108" spans="1:6" ht="18.75" customHeight="1" x14ac:dyDescent="0.25">
      <c r="A108" s="303" t="s">
        <v>82</v>
      </c>
      <c r="B108" s="310" t="s">
        <v>76</v>
      </c>
      <c r="C108" s="310"/>
      <c r="D108" s="310"/>
      <c r="E108" s="303" t="s">
        <v>77</v>
      </c>
      <c r="F108" s="311">
        <f>F109/D109</f>
        <v>10362.474539486471</v>
      </c>
    </row>
    <row r="109" spans="1:6" ht="20.25" customHeight="1" x14ac:dyDescent="0.25">
      <c r="A109" s="303" t="s">
        <v>84</v>
      </c>
      <c r="B109" s="310" t="s">
        <v>79</v>
      </c>
      <c r="C109" s="310"/>
      <c r="D109" s="310">
        <v>1852.28</v>
      </c>
      <c r="E109" s="303" t="s">
        <v>15</v>
      </c>
      <c r="F109" s="311">
        <v>19194204.34</v>
      </c>
    </row>
    <row r="110" spans="1:6" ht="17.25" customHeight="1" x14ac:dyDescent="0.25">
      <c r="A110" s="303" t="s">
        <v>86</v>
      </c>
      <c r="B110" s="310" t="s">
        <v>81</v>
      </c>
      <c r="C110" s="310"/>
      <c r="D110" s="310"/>
      <c r="E110" s="303" t="s">
        <v>15</v>
      </c>
      <c r="F110" s="311">
        <v>19195467.440000001</v>
      </c>
    </row>
    <row r="111" spans="1:6" ht="21" customHeight="1" x14ac:dyDescent="0.25">
      <c r="A111" s="303" t="s">
        <v>88</v>
      </c>
      <c r="B111" s="310" t="s">
        <v>83</v>
      </c>
      <c r="C111" s="310"/>
      <c r="D111" s="310"/>
      <c r="E111" s="303" t="s">
        <v>15</v>
      </c>
      <c r="F111" s="311">
        <f>F109-F110</f>
        <v>-1263.1000000014901</v>
      </c>
    </row>
    <row r="112" spans="1:6" ht="29.25" customHeight="1" x14ac:dyDescent="0.25">
      <c r="A112" s="303" t="s">
        <v>90</v>
      </c>
      <c r="B112" s="310" t="s">
        <v>85</v>
      </c>
      <c r="C112" s="310"/>
      <c r="D112" s="310"/>
      <c r="E112" s="303" t="s">
        <v>15</v>
      </c>
      <c r="F112" s="311">
        <v>19197635.73</v>
      </c>
    </row>
    <row r="113" spans="1:6" ht="29.25" customHeight="1" x14ac:dyDescent="0.25">
      <c r="A113" s="303" t="s">
        <v>93</v>
      </c>
      <c r="B113" s="310" t="s">
        <v>87</v>
      </c>
      <c r="C113" s="310"/>
      <c r="D113" s="310"/>
      <c r="E113" s="303" t="s">
        <v>15</v>
      </c>
      <c r="F113" s="311">
        <v>17030103.98</v>
      </c>
    </row>
    <row r="114" spans="1:6" ht="30" customHeight="1" x14ac:dyDescent="0.25">
      <c r="A114" s="303" t="s">
        <v>94</v>
      </c>
      <c r="B114" s="310" t="s">
        <v>89</v>
      </c>
      <c r="C114" s="310"/>
      <c r="D114" s="310"/>
      <c r="E114" s="303" t="s">
        <v>15</v>
      </c>
      <c r="F114" s="311">
        <v>2167531.75</v>
      </c>
    </row>
    <row r="115" spans="1:6" ht="33" customHeight="1" x14ac:dyDescent="0.25">
      <c r="A115" s="303" t="s">
        <v>95</v>
      </c>
      <c r="B115" s="310" t="s">
        <v>444</v>
      </c>
      <c r="C115" s="310"/>
      <c r="D115" s="310"/>
      <c r="E115" s="303" t="s">
        <v>15</v>
      </c>
      <c r="F115" s="311">
        <v>769311.29</v>
      </c>
    </row>
    <row r="116" spans="1:6" ht="27.75" customHeight="1" x14ac:dyDescent="0.25">
      <c r="A116" s="475" t="s">
        <v>92</v>
      </c>
      <c r="B116" s="476"/>
      <c r="C116" s="476"/>
      <c r="D116" s="476"/>
      <c r="E116" s="476"/>
      <c r="F116" s="476"/>
    </row>
    <row r="117" spans="1:6" x14ac:dyDescent="0.25">
      <c r="A117" s="6" t="s">
        <v>96</v>
      </c>
      <c r="B117" s="124" t="s">
        <v>55</v>
      </c>
      <c r="C117" s="124"/>
      <c r="D117" s="124"/>
      <c r="E117" s="6" t="s">
        <v>58</v>
      </c>
      <c r="F117" s="433"/>
    </row>
    <row r="118" spans="1:6" x14ac:dyDescent="0.25">
      <c r="A118" s="6" t="s">
        <v>98</v>
      </c>
      <c r="B118" s="124" t="s">
        <v>57</v>
      </c>
      <c r="C118" s="124"/>
      <c r="D118" s="124"/>
      <c r="E118" s="6" t="s">
        <v>58</v>
      </c>
      <c r="F118" s="433"/>
    </row>
    <row r="119" spans="1:6" ht="30" x14ac:dyDescent="0.25">
      <c r="A119" s="6" t="s">
        <v>100</v>
      </c>
      <c r="B119" s="124" t="s">
        <v>60</v>
      </c>
      <c r="C119" s="124"/>
      <c r="D119" s="124"/>
      <c r="E119" s="6" t="s">
        <v>58</v>
      </c>
      <c r="F119" s="288"/>
    </row>
    <row r="120" spans="1:6" x14ac:dyDescent="0.25">
      <c r="A120" s="6" t="s">
        <v>102</v>
      </c>
      <c r="B120" s="124" t="s">
        <v>62</v>
      </c>
      <c r="C120" s="124"/>
      <c r="D120" s="124"/>
      <c r="E120" s="6" t="s">
        <v>15</v>
      </c>
      <c r="F120" s="311"/>
    </row>
    <row r="121" spans="1:6" ht="26.25" customHeight="1" x14ac:dyDescent="0.25">
      <c r="A121" s="475" t="s">
        <v>97</v>
      </c>
      <c r="B121" s="476"/>
      <c r="C121" s="476"/>
      <c r="D121" s="476"/>
      <c r="E121" s="476"/>
      <c r="F121" s="476"/>
    </row>
    <row r="122" spans="1:6" ht="30" x14ac:dyDescent="0.25">
      <c r="A122" s="6" t="s">
        <v>446</v>
      </c>
      <c r="B122" s="124" t="s">
        <v>99</v>
      </c>
      <c r="C122" s="124"/>
      <c r="D122" s="124"/>
      <c r="E122" s="6" t="s">
        <v>58</v>
      </c>
      <c r="F122" s="299"/>
    </row>
    <row r="123" spans="1:6" x14ac:dyDescent="0.25">
      <c r="A123" s="6" t="s">
        <v>447</v>
      </c>
      <c r="B123" s="124" t="s">
        <v>101</v>
      </c>
      <c r="C123" s="124"/>
      <c r="D123" s="124"/>
      <c r="E123" s="6" t="s">
        <v>58</v>
      </c>
      <c r="F123" s="299"/>
    </row>
    <row r="124" spans="1:6" ht="30" x14ac:dyDescent="0.25">
      <c r="A124" s="6" t="s">
        <v>448</v>
      </c>
      <c r="B124" s="124" t="s">
        <v>103</v>
      </c>
      <c r="C124" s="124"/>
      <c r="D124" s="124"/>
      <c r="E124" s="6" t="s">
        <v>15</v>
      </c>
      <c r="F124" s="300"/>
    </row>
    <row r="125" spans="1:6" x14ac:dyDescent="0.25">
      <c r="A125" s="142"/>
      <c r="B125" s="283"/>
      <c r="C125" s="283"/>
      <c r="D125" s="283"/>
      <c r="E125" s="142"/>
      <c r="F125" s="142"/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</sheetData>
  <mergeCells count="14">
    <mergeCell ref="C47:C49"/>
    <mergeCell ref="A1:F1"/>
    <mergeCell ref="A6:F6"/>
    <mergeCell ref="A24:F24"/>
    <mergeCell ref="C32:C35"/>
    <mergeCell ref="C39:C42"/>
    <mergeCell ref="A116:F116"/>
    <mergeCell ref="A121:F121"/>
    <mergeCell ref="A60:F60"/>
    <mergeCell ref="A65:F65"/>
    <mergeCell ref="A72:F72"/>
    <mergeCell ref="A83:F83"/>
    <mergeCell ref="A94:F94"/>
    <mergeCell ref="A105:F105"/>
  </mergeCells>
  <pageMargins left="0.70866141732283472" right="0.70866141732283472" top="0.74803149606299213" bottom="0.74803149606299213" header="0.31496062992125984" footer="0.31496062992125984"/>
  <pageSetup paperSize="9" scale="62" fitToHeight="4" orientation="portrait" r:id="rId1"/>
  <rowBreaks count="1" manualBreakCount="1">
    <brk id="59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44"/>
  <sheetViews>
    <sheetView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E36" sqref="E36:K36"/>
    </sheetView>
  </sheetViews>
  <sheetFormatPr defaultRowHeight="15" x14ac:dyDescent="0.25"/>
  <cols>
    <col min="4" max="4" width="29.7109375" customWidth="1"/>
    <col min="5" max="5" width="25.42578125" customWidth="1"/>
    <col min="6" max="6" width="19.7109375" customWidth="1"/>
    <col min="7" max="7" width="22.140625" customWidth="1"/>
    <col min="8" max="8" width="21.140625" customWidth="1"/>
    <col min="9" max="9" width="20.28515625" customWidth="1"/>
    <col min="10" max="10" width="18.5703125" customWidth="1"/>
    <col min="11" max="11" width="20.85546875" customWidth="1"/>
    <col min="12" max="12" width="17.42578125" customWidth="1"/>
  </cols>
  <sheetData>
    <row r="1" spans="1:13" ht="29.25" customHeight="1" thickBot="1" x14ac:dyDescent="0.3">
      <c r="A1" s="486" t="s">
        <v>159</v>
      </c>
      <c r="B1" s="487"/>
      <c r="C1" s="487"/>
      <c r="D1" s="487"/>
      <c r="E1" s="28" t="s">
        <v>152</v>
      </c>
      <c r="F1" s="28" t="s">
        <v>153</v>
      </c>
      <c r="G1" s="28" t="s">
        <v>154</v>
      </c>
      <c r="H1" s="28" t="s">
        <v>155</v>
      </c>
      <c r="I1" s="28" t="s">
        <v>156</v>
      </c>
      <c r="J1" s="28" t="s">
        <v>157</v>
      </c>
      <c r="K1" s="29" t="s">
        <v>158</v>
      </c>
      <c r="L1" s="1" t="s">
        <v>171</v>
      </c>
    </row>
    <row r="2" spans="1:13" ht="35.25" customHeight="1" thickBot="1" x14ac:dyDescent="0.3">
      <c r="A2" s="504" t="s">
        <v>123</v>
      </c>
      <c r="B2" s="505"/>
      <c r="C2" s="505"/>
      <c r="D2" s="505"/>
      <c r="E2" s="22" t="s">
        <v>151</v>
      </c>
      <c r="F2" s="22"/>
      <c r="G2" s="22"/>
      <c r="H2" s="22"/>
      <c r="I2" s="22"/>
      <c r="J2" s="22"/>
      <c r="K2" s="23"/>
    </row>
    <row r="3" spans="1:13" ht="26.25" customHeight="1" x14ac:dyDescent="0.25">
      <c r="A3" s="502" t="s">
        <v>124</v>
      </c>
      <c r="B3" s="503"/>
      <c r="C3" s="503"/>
      <c r="D3" s="503"/>
      <c r="E3" s="26"/>
      <c r="F3" s="26"/>
      <c r="G3" s="26"/>
      <c r="H3" s="26"/>
      <c r="I3" s="26"/>
      <c r="J3" s="26"/>
      <c r="K3" s="27"/>
    </row>
    <row r="4" spans="1:13" x14ac:dyDescent="0.25">
      <c r="A4" s="500" t="s">
        <v>125</v>
      </c>
      <c r="B4" s="501"/>
      <c r="C4" s="501"/>
      <c r="D4" s="501"/>
      <c r="E4" s="4"/>
      <c r="F4" s="4"/>
      <c r="G4" s="4"/>
      <c r="H4" s="4"/>
      <c r="I4" s="4"/>
      <c r="J4" s="4"/>
      <c r="K4" s="24"/>
    </row>
    <row r="5" spans="1:13" x14ac:dyDescent="0.25">
      <c r="A5" s="500" t="s">
        <v>126</v>
      </c>
      <c r="B5" s="501"/>
      <c r="C5" s="501"/>
      <c r="D5" s="501"/>
      <c r="E5" s="4"/>
      <c r="F5" s="4"/>
      <c r="G5" s="4"/>
      <c r="H5" s="4"/>
      <c r="I5" s="4"/>
      <c r="J5" s="4"/>
      <c r="K5" s="24"/>
    </row>
    <row r="6" spans="1:13" x14ac:dyDescent="0.25">
      <c r="A6" s="500" t="s">
        <v>127</v>
      </c>
      <c r="B6" s="501"/>
      <c r="C6" s="501"/>
      <c r="D6" s="501"/>
      <c r="E6" s="4"/>
      <c r="F6" s="4"/>
      <c r="G6" s="4"/>
      <c r="H6" s="4"/>
      <c r="I6" s="4"/>
      <c r="J6" s="4"/>
      <c r="K6" s="24"/>
    </row>
    <row r="7" spans="1:13" x14ac:dyDescent="0.25">
      <c r="A7" s="500" t="s">
        <v>128</v>
      </c>
      <c r="B7" s="501"/>
      <c r="C7" s="501"/>
      <c r="D7" s="501"/>
      <c r="E7" s="4"/>
      <c r="F7" s="4"/>
      <c r="G7" s="4"/>
      <c r="H7" s="4"/>
      <c r="I7" s="4"/>
      <c r="J7" s="4"/>
      <c r="K7" s="24"/>
    </row>
    <row r="8" spans="1:13" x14ac:dyDescent="0.25">
      <c r="A8" s="496" t="s">
        <v>129</v>
      </c>
      <c r="B8" s="497"/>
      <c r="C8" s="497"/>
      <c r="D8" s="497"/>
      <c r="E8" s="37">
        <f>15406.45/1.18*12</f>
        <v>156675.76271186443</v>
      </c>
      <c r="F8" s="37">
        <f>(6172.1+15085.25)/1.18*12</f>
        <v>216176.44067796611</v>
      </c>
      <c r="G8" s="37">
        <f>(2462.19+3293.06+10772.82)/1.18*12</f>
        <v>168082.06779661018</v>
      </c>
      <c r="H8" s="37">
        <f>12149.82/1.18*12</f>
        <v>123557.49152542374</v>
      </c>
      <c r="I8" s="37">
        <f>24011.74/1.18*12</f>
        <v>244187.18644067796</v>
      </c>
      <c r="J8" s="37">
        <f>+(6623.65+38853.17)/1.18*12</f>
        <v>462476.13559322036</v>
      </c>
      <c r="K8" s="38">
        <f>(160893.97+2429.13)/1.18*12</f>
        <v>1660912.8813559322</v>
      </c>
      <c r="L8" s="17">
        <f>298153.36/1.18*12</f>
        <v>3032068.0677966103</v>
      </c>
      <c r="M8" t="s">
        <v>174</v>
      </c>
    </row>
    <row r="9" spans="1:13" ht="30" customHeight="1" x14ac:dyDescent="0.25">
      <c r="A9" s="494" t="s">
        <v>131</v>
      </c>
      <c r="B9" s="495"/>
      <c r="C9" s="495"/>
      <c r="D9" s="495"/>
      <c r="E9" s="37"/>
      <c r="F9" s="37"/>
      <c r="G9" s="37"/>
      <c r="H9" s="37"/>
      <c r="I9" s="37"/>
      <c r="J9" s="37"/>
      <c r="K9" s="38"/>
      <c r="L9" s="17"/>
    </row>
    <row r="10" spans="1:13" ht="14.25" customHeight="1" x14ac:dyDescent="0.25">
      <c r="A10" s="494" t="s">
        <v>132</v>
      </c>
      <c r="B10" s="495"/>
      <c r="C10" s="495"/>
      <c r="D10" s="495"/>
      <c r="E10" s="37"/>
      <c r="F10" s="37"/>
      <c r="G10" s="37"/>
      <c r="H10" s="37"/>
      <c r="I10" s="37"/>
      <c r="J10" s="37"/>
      <c r="K10" s="38"/>
      <c r="L10" s="17"/>
    </row>
    <row r="11" spans="1:13" ht="27" customHeight="1" x14ac:dyDescent="0.25">
      <c r="A11" s="496" t="s">
        <v>133</v>
      </c>
      <c r="B11" s="497"/>
      <c r="C11" s="497"/>
      <c r="D11" s="497"/>
      <c r="E11" s="37"/>
      <c r="F11" s="37"/>
      <c r="G11" s="37"/>
      <c r="H11" s="37"/>
      <c r="I11" s="37"/>
      <c r="J11" s="37"/>
      <c r="K11" s="38"/>
      <c r="L11" s="17"/>
    </row>
    <row r="12" spans="1:13" x14ac:dyDescent="0.25">
      <c r="A12" s="496" t="s">
        <v>134</v>
      </c>
      <c r="B12" s="497"/>
      <c r="C12" s="497"/>
      <c r="D12" s="497"/>
      <c r="E12" s="37"/>
      <c r="F12" s="37"/>
      <c r="G12" s="37"/>
      <c r="H12" s="37"/>
      <c r="I12" s="37"/>
      <c r="J12" s="37"/>
      <c r="K12" s="38"/>
      <c r="L12" s="17"/>
    </row>
    <row r="13" spans="1:13" x14ac:dyDescent="0.25">
      <c r="A13" s="496" t="s">
        <v>135</v>
      </c>
      <c r="B13" s="497"/>
      <c r="C13" s="497"/>
      <c r="D13" s="497"/>
      <c r="E13" s="37"/>
      <c r="F13" s="37"/>
      <c r="G13" s="37"/>
      <c r="H13" s="37"/>
      <c r="I13" s="37"/>
      <c r="J13" s="37"/>
      <c r="K13" s="38"/>
      <c r="L13" s="17"/>
    </row>
    <row r="14" spans="1:13" x14ac:dyDescent="0.25">
      <c r="A14" s="496" t="s">
        <v>136</v>
      </c>
      <c r="B14" s="497"/>
      <c r="C14" s="497"/>
      <c r="D14" s="497"/>
      <c r="E14" s="37"/>
      <c r="F14" s="37"/>
      <c r="G14" s="37"/>
      <c r="H14" s="37"/>
      <c r="I14" s="37"/>
      <c r="J14" s="37"/>
      <c r="K14" s="38"/>
      <c r="L14" s="17"/>
    </row>
    <row r="15" spans="1:13" x14ac:dyDescent="0.25">
      <c r="A15" s="496" t="s">
        <v>137</v>
      </c>
      <c r="B15" s="497"/>
      <c r="C15" s="497"/>
      <c r="D15" s="497"/>
      <c r="E15" s="37"/>
      <c r="F15" s="37"/>
      <c r="G15" s="37"/>
      <c r="H15" s="37"/>
      <c r="I15" s="37"/>
      <c r="J15" s="37"/>
      <c r="K15" s="38"/>
      <c r="L15" s="17"/>
    </row>
    <row r="16" spans="1:13" x14ac:dyDescent="0.25">
      <c r="A16" s="496" t="s">
        <v>138</v>
      </c>
      <c r="B16" s="497"/>
      <c r="C16" s="497"/>
      <c r="D16" s="497"/>
      <c r="E16" s="37"/>
      <c r="F16" s="37"/>
      <c r="G16" s="37"/>
      <c r="H16" s="37"/>
      <c r="I16" s="37"/>
      <c r="J16" s="37"/>
      <c r="K16" s="38"/>
      <c r="L16" s="17"/>
    </row>
    <row r="17" spans="1:12" x14ac:dyDescent="0.25">
      <c r="A17" s="494" t="s">
        <v>139</v>
      </c>
      <c r="B17" s="495"/>
      <c r="C17" s="495"/>
      <c r="D17" s="495"/>
      <c r="E17" s="37"/>
      <c r="F17" s="37"/>
      <c r="G17" s="37"/>
      <c r="H17" s="37"/>
      <c r="I17" s="37"/>
      <c r="J17" s="37"/>
      <c r="K17" s="38"/>
      <c r="L17" s="17"/>
    </row>
    <row r="18" spans="1:12" x14ac:dyDescent="0.25">
      <c r="A18" s="494" t="s">
        <v>140</v>
      </c>
      <c r="B18" s="495"/>
      <c r="C18" s="495"/>
      <c r="D18" s="495"/>
      <c r="E18" s="37"/>
      <c r="F18" s="37"/>
      <c r="G18" s="37"/>
      <c r="H18" s="37"/>
      <c r="I18" s="37"/>
      <c r="J18" s="37"/>
      <c r="K18" s="38"/>
      <c r="L18" s="17"/>
    </row>
    <row r="19" spans="1:12" x14ac:dyDescent="0.25">
      <c r="A19" s="494" t="s">
        <v>141</v>
      </c>
      <c r="B19" s="495"/>
      <c r="C19" s="495"/>
      <c r="D19" s="495"/>
      <c r="E19" s="37"/>
      <c r="F19" s="37"/>
      <c r="G19" s="37"/>
      <c r="H19" s="37"/>
      <c r="I19" s="37"/>
      <c r="J19" s="37"/>
      <c r="K19" s="38"/>
      <c r="L19" s="17"/>
    </row>
    <row r="20" spans="1:12" x14ac:dyDescent="0.25">
      <c r="A20" s="491" t="s">
        <v>178</v>
      </c>
      <c r="B20" s="492"/>
      <c r="C20" s="492"/>
      <c r="D20" s="493"/>
      <c r="F20" s="37"/>
      <c r="G20" s="37"/>
      <c r="H20" s="37"/>
      <c r="I20" s="37"/>
      <c r="J20" s="37"/>
      <c r="K20" s="37">
        <f>257164.92*12</f>
        <v>3085979.04</v>
      </c>
      <c r="L20" s="17"/>
    </row>
    <row r="21" spans="1:12" s="40" customFormat="1" x14ac:dyDescent="0.25">
      <c r="A21" s="498" t="s">
        <v>142</v>
      </c>
      <c r="B21" s="499"/>
      <c r="C21" s="499"/>
      <c r="D21" s="499"/>
      <c r="F21" s="41"/>
      <c r="G21" s="41"/>
      <c r="H21" s="41"/>
      <c r="I21" s="41"/>
      <c r="J21" s="41"/>
      <c r="K21" s="42"/>
      <c r="L21" s="43"/>
    </row>
    <row r="22" spans="1:12" x14ac:dyDescent="0.25">
      <c r="A22" s="491" t="s">
        <v>177</v>
      </c>
      <c r="B22" s="492"/>
      <c r="C22" s="492"/>
      <c r="D22" s="493"/>
      <c r="E22" s="37"/>
      <c r="F22" s="37"/>
      <c r="G22" s="37"/>
      <c r="H22" s="37"/>
      <c r="I22" s="37"/>
      <c r="J22" s="37"/>
      <c r="K22" s="38">
        <f>3003</f>
        <v>3003</v>
      </c>
      <c r="L22" s="17"/>
    </row>
    <row r="23" spans="1:12" ht="21.75" customHeight="1" x14ac:dyDescent="0.25">
      <c r="A23" s="494" t="s">
        <v>143</v>
      </c>
      <c r="B23" s="495"/>
      <c r="C23" s="495"/>
      <c r="D23" s="495"/>
      <c r="E23" s="37"/>
      <c r="F23" s="37"/>
      <c r="G23" s="37"/>
      <c r="H23" s="37"/>
      <c r="I23" s="37"/>
      <c r="J23" s="37"/>
      <c r="K23" s="38"/>
      <c r="L23" s="17"/>
    </row>
    <row r="24" spans="1:12" ht="27" customHeight="1" x14ac:dyDescent="0.25">
      <c r="A24" s="494" t="s">
        <v>144</v>
      </c>
      <c r="B24" s="495"/>
      <c r="C24" s="495"/>
      <c r="D24" s="495"/>
      <c r="E24" s="37"/>
      <c r="F24" s="37"/>
      <c r="G24" s="37"/>
      <c r="H24" s="37"/>
      <c r="I24" s="37"/>
      <c r="J24" s="37"/>
      <c r="K24" s="38"/>
      <c r="L24" s="17"/>
    </row>
    <row r="25" spans="1:12" ht="27" customHeight="1" x14ac:dyDescent="0.25">
      <c r="A25" s="491" t="s">
        <v>181</v>
      </c>
      <c r="B25" s="492"/>
      <c r="C25" s="492"/>
      <c r="D25" s="493"/>
      <c r="E25" s="37"/>
      <c r="F25" s="37"/>
      <c r="G25" s="37"/>
      <c r="H25" s="37"/>
      <c r="I25" s="37"/>
      <c r="J25" s="37"/>
      <c r="K25" s="38">
        <f>400000</f>
        <v>400000</v>
      </c>
      <c r="L25" s="17"/>
    </row>
    <row r="26" spans="1:12" ht="27" customHeight="1" x14ac:dyDescent="0.25">
      <c r="A26" s="491"/>
      <c r="B26" s="492"/>
      <c r="C26" s="492"/>
      <c r="D26" s="493"/>
      <c r="E26" s="37"/>
      <c r="F26" s="37"/>
      <c r="G26" s="37"/>
      <c r="H26" s="37"/>
      <c r="I26" s="37"/>
      <c r="J26" s="37"/>
      <c r="K26" s="38"/>
      <c r="L26" s="17"/>
    </row>
    <row r="27" spans="1:12" ht="24.75" customHeight="1" x14ac:dyDescent="0.25">
      <c r="A27" s="494" t="s">
        <v>145</v>
      </c>
      <c r="B27" s="495"/>
      <c r="C27" s="495"/>
      <c r="D27" s="495"/>
      <c r="E27" s="37"/>
      <c r="F27" s="37"/>
      <c r="G27" s="37"/>
      <c r="H27" s="37"/>
      <c r="I27" s="37"/>
      <c r="J27" s="37"/>
      <c r="K27" s="38"/>
      <c r="L27" s="17"/>
    </row>
    <row r="28" spans="1:12" ht="24" customHeight="1" x14ac:dyDescent="0.25">
      <c r="A28" s="494" t="s">
        <v>146</v>
      </c>
      <c r="B28" s="495"/>
      <c r="C28" s="495"/>
      <c r="D28" s="495"/>
      <c r="E28" s="37"/>
      <c r="F28" s="37"/>
      <c r="G28" s="37"/>
      <c r="H28" s="37"/>
      <c r="I28" s="37"/>
      <c r="J28" s="37"/>
      <c r="K28" s="38"/>
      <c r="L28" s="17"/>
    </row>
    <row r="29" spans="1:12" ht="24" customHeight="1" x14ac:dyDescent="0.25">
      <c r="A29" s="491" t="s">
        <v>182</v>
      </c>
      <c r="B29" s="492"/>
      <c r="C29" s="492"/>
      <c r="D29" s="493"/>
      <c r="E29" s="37"/>
      <c r="F29" s="37"/>
      <c r="G29" s="37"/>
      <c r="H29" s="37"/>
      <c r="I29" s="37"/>
      <c r="J29" s="37"/>
      <c r="K29" s="38">
        <f>2237.29+135355.93</f>
        <v>137593.22</v>
      </c>
      <c r="L29" s="17"/>
    </row>
    <row r="30" spans="1:12" ht="24" customHeight="1" x14ac:dyDescent="0.25">
      <c r="A30" s="491" t="s">
        <v>183</v>
      </c>
      <c r="B30" s="492"/>
      <c r="C30" s="492"/>
      <c r="D30" s="493"/>
      <c r="E30" s="37"/>
      <c r="F30" s="37"/>
      <c r="G30" s="37"/>
      <c r="H30" s="37"/>
      <c r="I30" s="37"/>
      <c r="J30" s="37"/>
      <c r="K30" s="38">
        <f>23993.2</f>
        <v>23993.200000000001</v>
      </c>
      <c r="L30" s="17"/>
    </row>
    <row r="31" spans="1:12" x14ac:dyDescent="0.25">
      <c r="A31" s="494" t="s">
        <v>180</v>
      </c>
      <c r="B31" s="495"/>
      <c r="C31" s="495"/>
      <c r="D31" s="495"/>
      <c r="E31" s="37"/>
      <c r="F31" s="37"/>
      <c r="G31" s="37"/>
      <c r="H31" s="37"/>
      <c r="I31" s="37"/>
      <c r="J31" s="37"/>
      <c r="K31" s="38"/>
      <c r="L31" s="17"/>
    </row>
    <row r="32" spans="1:12" x14ac:dyDescent="0.25">
      <c r="A32" s="491" t="s">
        <v>179</v>
      </c>
      <c r="B32" s="492"/>
      <c r="C32" s="492"/>
      <c r="D32" s="493"/>
      <c r="E32" s="37"/>
      <c r="F32" s="37"/>
      <c r="G32" s="37"/>
      <c r="H32" s="37"/>
      <c r="I32" s="37"/>
      <c r="J32" s="37"/>
      <c r="K32" s="38">
        <f>3000</f>
        <v>3000</v>
      </c>
      <c r="L32" s="17"/>
    </row>
    <row r="33" spans="1:13" ht="30" customHeight="1" x14ac:dyDescent="0.25">
      <c r="A33" s="489" t="s">
        <v>130</v>
      </c>
      <c r="B33" s="490"/>
      <c r="C33" s="490"/>
      <c r="D33" s="490"/>
      <c r="E33" s="37">
        <f>26112.64*12</f>
        <v>313351.67999999999</v>
      </c>
      <c r="F33" s="37">
        <f>(8980.75+30170.51)/1.18*12</f>
        <v>398148.40677966096</v>
      </c>
      <c r="G33" s="37">
        <f>(3582.63+8217.55+15546.14)/1.18*12</f>
        <v>278098.16949152539</v>
      </c>
      <c r="H33" s="37">
        <f>43409.07/1.18*12</f>
        <v>441448.16949152539</v>
      </c>
      <c r="I33" s="37">
        <f>20850.53/1.18*12</f>
        <v>212039.2881355932</v>
      </c>
      <c r="J33" s="37">
        <f>(6623.65+28034.3)/1.18*12</f>
        <v>352453.72881355928</v>
      </c>
      <c r="K33" s="38">
        <f>(191614.83+8027.73)/1.18*12</f>
        <v>2030263.3220338984</v>
      </c>
      <c r="L33" s="17">
        <f>395870.58/1.18*12</f>
        <v>4025802.5084745763</v>
      </c>
      <c r="M33" t="s">
        <v>174</v>
      </c>
    </row>
    <row r="34" spans="1:13" ht="24.75" customHeight="1" x14ac:dyDescent="0.25">
      <c r="A34" s="489" t="s">
        <v>147</v>
      </c>
      <c r="B34" s="490"/>
      <c r="C34" s="490"/>
      <c r="D34" s="490"/>
      <c r="E34" s="37"/>
      <c r="F34" s="37"/>
      <c r="G34" s="37"/>
      <c r="H34" s="37"/>
      <c r="I34" s="37"/>
      <c r="J34" s="37"/>
      <c r="K34" s="38"/>
    </row>
    <row r="35" spans="1:13" ht="33" customHeight="1" x14ac:dyDescent="0.25">
      <c r="A35" s="494" t="s">
        <v>172</v>
      </c>
      <c r="B35" s="495"/>
      <c r="C35" s="495"/>
      <c r="D35" s="495"/>
      <c r="E35" s="37"/>
      <c r="F35" s="37"/>
      <c r="G35" s="37"/>
      <c r="H35" s="37"/>
      <c r="I35" s="37"/>
      <c r="J35" s="37"/>
      <c r="K35" s="38"/>
    </row>
    <row r="36" spans="1:13" ht="18.75" customHeight="1" x14ac:dyDescent="0.25">
      <c r="A36" s="494" t="s">
        <v>148</v>
      </c>
      <c r="B36" s="495"/>
      <c r="C36" s="495"/>
      <c r="D36" s="495"/>
      <c r="E36" s="37">
        <f>'паспортный стол'!G2</f>
        <v>37147.993276287591</v>
      </c>
      <c r="F36" s="37">
        <f>'паспортный стол'!G3</f>
        <v>54304.55986834268</v>
      </c>
      <c r="G36" s="37">
        <f>'паспортный стол'!G7</f>
        <v>44615.398556016131</v>
      </c>
      <c r="H36" s="37">
        <f>'паспортный стол'!G6</f>
        <v>59093.743870544175</v>
      </c>
      <c r="I36" s="37">
        <f>'паспортный стол'!G4</f>
        <v>33871.949774756722</v>
      </c>
      <c r="J36" s="37">
        <f>'паспортный стол'!G5</f>
        <v>49847.039453869016</v>
      </c>
      <c r="K36" s="38">
        <f>'паспортный стол'!G8</f>
        <v>272102.31520018366</v>
      </c>
      <c r="L36" s="17">
        <f>SUM(E36:K36)</f>
        <v>550983</v>
      </c>
      <c r="M36" t="s">
        <v>175</v>
      </c>
    </row>
    <row r="37" spans="1:13" ht="25.5" customHeight="1" x14ac:dyDescent="0.25">
      <c r="A37" s="494" t="s">
        <v>149</v>
      </c>
      <c r="B37" s="495"/>
      <c r="C37" s="495"/>
      <c r="D37" s="495"/>
      <c r="E37" s="37"/>
      <c r="F37" s="37"/>
      <c r="G37" s="37"/>
      <c r="H37" s="37"/>
      <c r="I37" s="37"/>
      <c r="J37" s="37"/>
      <c r="K37" s="38"/>
    </row>
    <row r="38" spans="1:13" ht="23.25" customHeight="1" x14ac:dyDescent="0.25">
      <c r="A38" s="494" t="s">
        <v>150</v>
      </c>
      <c r="B38" s="495"/>
      <c r="C38" s="495"/>
      <c r="D38" s="495"/>
      <c r="E38" s="4"/>
      <c r="F38" s="4"/>
      <c r="G38" s="4"/>
      <c r="H38" s="4"/>
      <c r="I38" s="4"/>
      <c r="J38" s="4"/>
      <c r="K38" s="24"/>
    </row>
    <row r="39" spans="1:13" ht="38.25" customHeight="1" thickBot="1" x14ac:dyDescent="0.3">
      <c r="A39" s="484" t="s">
        <v>173</v>
      </c>
      <c r="B39" s="485"/>
      <c r="C39" s="485"/>
      <c r="D39" s="485"/>
      <c r="E39" s="21"/>
      <c r="F39" s="21"/>
      <c r="G39" s="21"/>
      <c r="H39" s="21">
        <f>9389.25*12</f>
        <v>112671</v>
      </c>
      <c r="I39" s="21"/>
      <c r="J39" s="21"/>
      <c r="K39" s="25">
        <f>45294.81*12</f>
        <v>543537.72</v>
      </c>
      <c r="L39">
        <f>K39+H39</f>
        <v>656208.72</v>
      </c>
      <c r="M39" t="s">
        <v>176</v>
      </c>
    </row>
    <row r="40" spans="1:13" ht="27.75" customHeight="1" thickBot="1" x14ac:dyDescent="0.3">
      <c r="A40" s="486" t="s">
        <v>160</v>
      </c>
      <c r="B40" s="487"/>
      <c r="C40" s="487"/>
      <c r="D40" s="487"/>
      <c r="E40" s="22"/>
      <c r="F40" s="22"/>
      <c r="G40" s="22"/>
      <c r="H40" s="22"/>
      <c r="I40" s="22"/>
      <c r="J40" s="22"/>
      <c r="K40" s="23"/>
    </row>
    <row r="42" spans="1:13" x14ac:dyDescent="0.25">
      <c r="A42" t="s">
        <v>161</v>
      </c>
    </row>
    <row r="43" spans="1:13" ht="33" customHeight="1" x14ac:dyDescent="0.25">
      <c r="A43" s="488" t="s">
        <v>162</v>
      </c>
      <c r="B43" s="488"/>
      <c r="C43" s="488"/>
      <c r="D43" s="488"/>
      <c r="E43" s="488"/>
      <c r="F43" s="488"/>
      <c r="G43" s="488"/>
      <c r="H43">
        <f>395870.58</f>
        <v>395870.58</v>
      </c>
    </row>
    <row r="44" spans="1:13" ht="28.5" customHeight="1" x14ac:dyDescent="0.25">
      <c r="A44" s="488" t="s">
        <v>163</v>
      </c>
      <c r="B44" s="488"/>
      <c r="C44" s="488"/>
      <c r="D44" s="488"/>
      <c r="E44" s="488"/>
      <c r="F44" s="488"/>
      <c r="G44" s="488"/>
      <c r="H44">
        <v>298153.36</v>
      </c>
    </row>
  </sheetData>
  <mergeCells count="42">
    <mergeCell ref="A7:D7"/>
    <mergeCell ref="A3:D3"/>
    <mergeCell ref="A2:D2"/>
    <mergeCell ref="A4:D4"/>
    <mergeCell ref="A5:D5"/>
    <mergeCell ref="A6:D6"/>
    <mergeCell ref="A8:D8"/>
    <mergeCell ref="A9:D9"/>
    <mergeCell ref="A10:D10"/>
    <mergeCell ref="A11:D11"/>
    <mergeCell ref="A12:D12"/>
    <mergeCell ref="A31:D31"/>
    <mergeCell ref="A13:D13"/>
    <mergeCell ref="A14:D14"/>
    <mergeCell ref="A15:D15"/>
    <mergeCell ref="A16:D16"/>
    <mergeCell ref="A17:D17"/>
    <mergeCell ref="A18:D18"/>
    <mergeCell ref="A26:D26"/>
    <mergeCell ref="A29:D29"/>
    <mergeCell ref="A30:D30"/>
    <mergeCell ref="A19:D19"/>
    <mergeCell ref="A21:D21"/>
    <mergeCell ref="A23:D23"/>
    <mergeCell ref="A27:D27"/>
    <mergeCell ref="A28:D28"/>
    <mergeCell ref="A39:D39"/>
    <mergeCell ref="A1:D1"/>
    <mergeCell ref="A40:D40"/>
    <mergeCell ref="A44:G44"/>
    <mergeCell ref="A43:G43"/>
    <mergeCell ref="A33:D33"/>
    <mergeCell ref="A22:D22"/>
    <mergeCell ref="A20:D20"/>
    <mergeCell ref="A32:D32"/>
    <mergeCell ref="A25:D25"/>
    <mergeCell ref="A38:D38"/>
    <mergeCell ref="A24:D24"/>
    <mergeCell ref="A34:D34"/>
    <mergeCell ref="A35:D35"/>
    <mergeCell ref="A36:D36"/>
    <mergeCell ref="A37:D37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G10"/>
  <sheetViews>
    <sheetView workbookViewId="0">
      <selection activeCell="D2" sqref="D2:E8"/>
    </sheetView>
  </sheetViews>
  <sheetFormatPr defaultRowHeight="15" x14ac:dyDescent="0.25"/>
  <cols>
    <col min="1" max="1" width="8.42578125" customWidth="1"/>
    <col min="3" max="3" width="20.5703125" customWidth="1"/>
    <col min="4" max="4" width="13.85546875" customWidth="1"/>
    <col min="5" max="5" width="16.7109375" customWidth="1"/>
    <col min="6" max="6" width="15.5703125" customWidth="1"/>
    <col min="7" max="7" width="16.28515625" customWidth="1"/>
    <col min="8" max="8" width="15.5703125" customWidth="1"/>
  </cols>
  <sheetData>
    <row r="1" spans="2:7" ht="55.5" customHeight="1" x14ac:dyDescent="0.3">
      <c r="B1" s="506" t="s">
        <v>167</v>
      </c>
      <c r="C1" s="506"/>
      <c r="D1" s="30" t="s">
        <v>165</v>
      </c>
      <c r="E1" s="30" t="s">
        <v>166</v>
      </c>
      <c r="F1" s="30">
        <v>45915.25</v>
      </c>
      <c r="G1" t="s">
        <v>170</v>
      </c>
    </row>
    <row r="2" spans="2:7" ht="51.75" customHeight="1" x14ac:dyDescent="0.3">
      <c r="B2" s="441" t="s">
        <v>164</v>
      </c>
      <c r="C2" s="441"/>
      <c r="D2" s="30">
        <v>9334.5</v>
      </c>
      <c r="E2" s="31">
        <f>D2*100/$D$9</f>
        <v>6.7421305695978981</v>
      </c>
      <c r="F2" s="32">
        <f>E2*$F$1/100</f>
        <v>3095.6661063572992</v>
      </c>
      <c r="G2" s="9">
        <f>F2*12</f>
        <v>37147.993276287591</v>
      </c>
    </row>
    <row r="3" spans="2:7" ht="46.5" customHeight="1" x14ac:dyDescent="0.3">
      <c r="B3" s="441" t="s">
        <v>112</v>
      </c>
      <c r="C3" s="441"/>
      <c r="D3" s="33">
        <f>'[2]весь фонд'!$E$338</f>
        <v>13645.580000000009</v>
      </c>
      <c r="E3" s="31">
        <f t="shared" ref="E3:E8" si="0">D3*100/$D$9</f>
        <v>9.8559410849958482</v>
      </c>
      <c r="F3" s="32">
        <f t="shared" ref="F3:F8" si="1">E3*$F$1/100</f>
        <v>4525.3799890285563</v>
      </c>
      <c r="G3" s="9">
        <f t="shared" ref="G3:G8" si="2">F3*12</f>
        <v>54304.55986834268</v>
      </c>
    </row>
    <row r="4" spans="2:7" ht="41.25" customHeight="1" x14ac:dyDescent="0.3">
      <c r="B4" s="441" t="s">
        <v>115</v>
      </c>
      <c r="C4" s="441"/>
      <c r="D4" s="33">
        <f>'[2]весь фонд'!$E$444</f>
        <v>8511.3000000000011</v>
      </c>
      <c r="E4" s="31">
        <f t="shared" si="0"/>
        <v>6.1475489760585571</v>
      </c>
      <c r="F4" s="32">
        <f t="shared" si="1"/>
        <v>2822.6624812297268</v>
      </c>
      <c r="G4" s="9">
        <f t="shared" si="2"/>
        <v>33871.949774756722</v>
      </c>
    </row>
    <row r="5" spans="2:7" ht="39" customHeight="1" x14ac:dyDescent="0.3">
      <c r="B5" s="441" t="s">
        <v>116</v>
      </c>
      <c r="C5" s="441"/>
      <c r="D5" s="33">
        <f>'[2]весь фонд'!$E$614</f>
        <v>12525.500000000004</v>
      </c>
      <c r="E5" s="31">
        <f t="shared" si="0"/>
        <v>9.0469287534949387</v>
      </c>
      <c r="F5" s="32">
        <f t="shared" si="1"/>
        <v>4153.9199544890844</v>
      </c>
      <c r="G5" s="9">
        <f t="shared" si="2"/>
        <v>49847.039453869016</v>
      </c>
    </row>
    <row r="6" spans="2:7" ht="36.75" customHeight="1" x14ac:dyDescent="0.3">
      <c r="B6" s="441" t="s">
        <v>155</v>
      </c>
      <c r="C6" s="441"/>
      <c r="D6" s="33">
        <f>'[2]весь фонд'!$E$2149</f>
        <v>14849.000000000004</v>
      </c>
      <c r="E6" s="31">
        <f t="shared" si="0"/>
        <v>10.725148302314985</v>
      </c>
      <c r="F6" s="32">
        <f t="shared" si="1"/>
        <v>4924.4786558786809</v>
      </c>
      <c r="G6" s="9">
        <f t="shared" si="2"/>
        <v>59093.743870544175</v>
      </c>
    </row>
    <row r="7" spans="2:7" ht="36" customHeight="1" x14ac:dyDescent="0.3">
      <c r="B7" s="441" t="s">
        <v>154</v>
      </c>
      <c r="C7" s="441"/>
      <c r="D7" s="33">
        <f>'[2]весь фонд'!$E$1948</f>
        <v>11210.900000000001</v>
      </c>
      <c r="E7" s="31">
        <f t="shared" si="0"/>
        <v>8.0974183515673133</v>
      </c>
      <c r="F7" s="32">
        <f t="shared" si="1"/>
        <v>3717.9498796680109</v>
      </c>
      <c r="G7" s="9">
        <f t="shared" si="2"/>
        <v>44615.398556016131</v>
      </c>
    </row>
    <row r="8" spans="2:7" ht="39.75" customHeight="1" x14ac:dyDescent="0.3">
      <c r="B8" s="441" t="s">
        <v>158</v>
      </c>
      <c r="C8" s="441"/>
      <c r="D8" s="33">
        <f>'[2]весь фонд'!$E$1536</f>
        <v>68373.51999999999</v>
      </c>
      <c r="E8" s="31">
        <f t="shared" si="0"/>
        <v>49.384883961970459</v>
      </c>
      <c r="F8" s="32">
        <f t="shared" si="1"/>
        <v>22675.192933348641</v>
      </c>
      <c r="G8" s="9">
        <f t="shared" si="2"/>
        <v>272102.31520018366</v>
      </c>
    </row>
    <row r="9" spans="2:7" ht="48" customHeight="1" x14ac:dyDescent="0.3">
      <c r="B9" s="507" t="s">
        <v>169</v>
      </c>
      <c r="C9" s="508"/>
      <c r="D9" s="30">
        <f>SUM(D2:D8)</f>
        <v>138450.30000000002</v>
      </c>
      <c r="E9" s="30">
        <f>SUM(E2:E8)</f>
        <v>100</v>
      </c>
      <c r="F9" s="34">
        <f>SUM(F2:F8)</f>
        <v>45915.25</v>
      </c>
      <c r="G9" s="9">
        <f>SUM(G2:G8)</f>
        <v>550983</v>
      </c>
    </row>
    <row r="10" spans="2:7" ht="18.75" x14ac:dyDescent="0.3">
      <c r="B10" s="35"/>
      <c r="C10" s="35" t="s">
        <v>168</v>
      </c>
      <c r="D10" s="36">
        <f>F9/D9</f>
        <v>0.3316370567633295</v>
      </c>
      <c r="E10" s="35"/>
      <c r="F10" s="35"/>
    </row>
  </sheetData>
  <mergeCells count="9">
    <mergeCell ref="B8:C8"/>
    <mergeCell ref="B1:C1"/>
    <mergeCell ref="B9:C9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52"/>
  <sheetViews>
    <sheetView workbookViewId="0">
      <pane xSplit="4" ySplit="2" topLeftCell="E48" activePane="bottomRight" state="frozen"/>
      <selection pane="topRight" activeCell="E1" sqref="E1"/>
      <selection pane="bottomLeft" activeCell="A3" sqref="A3"/>
      <selection pane="bottomRight" activeCell="N21" sqref="N21"/>
    </sheetView>
  </sheetViews>
  <sheetFormatPr defaultRowHeight="15" x14ac:dyDescent="0.25"/>
  <cols>
    <col min="4" max="4" width="29.7109375" customWidth="1"/>
    <col min="5" max="5" width="25.42578125" customWidth="1"/>
    <col min="6" max="6" width="19.7109375" customWidth="1"/>
    <col min="7" max="7" width="22.140625" customWidth="1"/>
    <col min="8" max="8" width="21.140625" customWidth="1"/>
    <col min="9" max="9" width="20.28515625" customWidth="1"/>
    <col min="10" max="10" width="18.5703125" customWidth="1"/>
    <col min="11" max="11" width="20.85546875" customWidth="1"/>
    <col min="12" max="12" width="17.42578125" customWidth="1"/>
  </cols>
  <sheetData>
    <row r="1" spans="1:13" ht="29.25" customHeight="1" thickBot="1" x14ac:dyDescent="0.3">
      <c r="A1" s="486" t="s">
        <v>159</v>
      </c>
      <c r="B1" s="487"/>
      <c r="C1" s="487"/>
      <c r="D1" s="487"/>
      <c r="E1" s="28" t="s">
        <v>152</v>
      </c>
      <c r="F1" s="28" t="s">
        <v>153</v>
      </c>
      <c r="G1" s="28" t="s">
        <v>154</v>
      </c>
      <c r="H1" s="28" t="s">
        <v>155</v>
      </c>
      <c r="I1" s="28" t="s">
        <v>156</v>
      </c>
      <c r="J1" s="28" t="s">
        <v>157</v>
      </c>
      <c r="K1" s="29" t="s">
        <v>158</v>
      </c>
      <c r="L1" s="1" t="s">
        <v>171</v>
      </c>
    </row>
    <row r="2" spans="1:13" ht="35.25" customHeight="1" thickBot="1" x14ac:dyDescent="0.3">
      <c r="A2" s="504" t="s">
        <v>123</v>
      </c>
      <c r="B2" s="505"/>
      <c r="C2" s="505"/>
      <c r="D2" s="505"/>
      <c r="E2" s="22" t="s">
        <v>151</v>
      </c>
      <c r="F2" s="22"/>
      <c r="G2" s="22"/>
      <c r="H2" s="22"/>
      <c r="I2" s="22"/>
      <c r="J2" s="22"/>
      <c r="K2" s="23"/>
    </row>
    <row r="3" spans="1:13" ht="26.25" customHeight="1" x14ac:dyDescent="0.25">
      <c r="A3" s="502" t="s">
        <v>124</v>
      </c>
      <c r="B3" s="503"/>
      <c r="C3" s="503"/>
      <c r="D3" s="503"/>
      <c r="E3" s="26"/>
      <c r="F3" s="26"/>
      <c r="G3" s="26"/>
      <c r="H3" s="26"/>
      <c r="I3" s="26"/>
      <c r="J3" s="26"/>
      <c r="K3" s="27"/>
    </row>
    <row r="4" spans="1:13" ht="26.25" customHeight="1" x14ac:dyDescent="0.25">
      <c r="A4" s="515"/>
      <c r="B4" s="516"/>
      <c r="C4" s="516"/>
      <c r="D4" s="517"/>
      <c r="E4" s="26"/>
      <c r="F4" s="26"/>
      <c r="G4" s="26"/>
      <c r="H4" s="26"/>
      <c r="I4" s="26"/>
      <c r="J4" s="26"/>
      <c r="K4" s="27"/>
    </row>
    <row r="5" spans="1:13" x14ac:dyDescent="0.25">
      <c r="A5" s="500" t="s">
        <v>125</v>
      </c>
      <c r="B5" s="501"/>
      <c r="C5" s="501"/>
      <c r="D5" s="501"/>
      <c r="E5" s="4"/>
      <c r="F5" s="4"/>
      <c r="G5" s="4"/>
      <c r="H5" s="4"/>
      <c r="I5" s="4"/>
      <c r="J5" s="4"/>
      <c r="K5" s="24"/>
    </row>
    <row r="6" spans="1:13" x14ac:dyDescent="0.25">
      <c r="A6" s="515" t="s">
        <v>184</v>
      </c>
      <c r="B6" s="516"/>
      <c r="C6" s="516"/>
      <c r="D6" s="517"/>
      <c r="E6" s="4"/>
      <c r="F6" s="4"/>
      <c r="G6" s="4"/>
      <c r="H6" s="4"/>
      <c r="I6" s="4"/>
      <c r="J6" s="4"/>
      <c r="K6" s="24">
        <f>11200+6860</f>
        <v>18060</v>
      </c>
    </row>
    <row r="7" spans="1:13" x14ac:dyDescent="0.25">
      <c r="A7" s="500" t="s">
        <v>126</v>
      </c>
      <c r="B7" s="501"/>
      <c r="C7" s="501"/>
      <c r="D7" s="501"/>
      <c r="E7" s="4"/>
      <c r="F7" s="4"/>
      <c r="G7" s="4"/>
      <c r="H7" s="4"/>
      <c r="I7" s="4"/>
      <c r="J7" s="4"/>
      <c r="K7" s="24"/>
    </row>
    <row r="8" spans="1:13" x14ac:dyDescent="0.25">
      <c r="A8" s="515" t="s">
        <v>188</v>
      </c>
      <c r="B8" s="516"/>
      <c r="C8" s="516"/>
      <c r="D8" s="517"/>
      <c r="E8" s="4"/>
      <c r="F8" s="4"/>
      <c r="G8" s="4"/>
      <c r="H8" s="4"/>
      <c r="I8" s="4"/>
      <c r="J8" s="4"/>
      <c r="K8" s="18">
        <f>392.84</f>
        <v>392.84</v>
      </c>
    </row>
    <row r="9" spans="1:13" x14ac:dyDescent="0.25">
      <c r="A9" s="515" t="s">
        <v>185</v>
      </c>
      <c r="B9" s="516"/>
      <c r="C9" s="516"/>
      <c r="D9" s="517"/>
      <c r="E9" s="4"/>
      <c r="F9" s="4"/>
      <c r="G9" s="4"/>
      <c r="H9" s="4"/>
      <c r="I9" s="4"/>
      <c r="J9" s="4"/>
    </row>
    <row r="10" spans="1:13" x14ac:dyDescent="0.25">
      <c r="A10" s="500" t="s">
        <v>127</v>
      </c>
      <c r="B10" s="501"/>
      <c r="C10" s="501"/>
      <c r="D10" s="501"/>
      <c r="E10" s="4"/>
      <c r="F10" s="4"/>
      <c r="G10" s="4"/>
      <c r="H10" s="4"/>
      <c r="I10" s="4"/>
      <c r="J10" s="4"/>
      <c r="K10" s="24"/>
    </row>
    <row r="11" spans="1:13" x14ac:dyDescent="0.25">
      <c r="A11" s="500" t="s">
        <v>128</v>
      </c>
      <c r="B11" s="501"/>
      <c r="C11" s="501"/>
      <c r="D11" s="501"/>
      <c r="E11" s="4"/>
      <c r="F11" s="4"/>
      <c r="G11" s="4"/>
      <c r="H11" s="4"/>
      <c r="I11" s="4"/>
      <c r="J11" s="4"/>
      <c r="K11" s="24"/>
    </row>
    <row r="12" spans="1:13" x14ac:dyDescent="0.25">
      <c r="A12" s="496" t="s">
        <v>129</v>
      </c>
      <c r="B12" s="497"/>
      <c r="C12" s="497"/>
      <c r="D12" s="497"/>
      <c r="E12" s="37"/>
      <c r="F12" s="37"/>
      <c r="G12" s="37"/>
      <c r="H12" s="37"/>
      <c r="I12" s="37"/>
      <c r="J12" s="37"/>
      <c r="K12" s="38">
        <f>136350.82+136350.82+136350.82</f>
        <v>409052.46</v>
      </c>
      <c r="L12" s="17">
        <f>298153.36/1.18*12</f>
        <v>3032068.0677966103</v>
      </c>
      <c r="M12" t="s">
        <v>174</v>
      </c>
    </row>
    <row r="13" spans="1:13" ht="30" customHeight="1" x14ac:dyDescent="0.25">
      <c r="A13" s="494" t="s">
        <v>131</v>
      </c>
      <c r="B13" s="495"/>
      <c r="C13" s="495"/>
      <c r="D13" s="495"/>
      <c r="E13" s="37"/>
      <c r="F13" s="37"/>
      <c r="G13" s="37"/>
      <c r="H13" s="37"/>
      <c r="I13" s="37"/>
      <c r="J13" s="37"/>
      <c r="K13" s="38"/>
      <c r="L13" s="17"/>
    </row>
    <row r="14" spans="1:13" ht="14.25" customHeight="1" x14ac:dyDescent="0.25">
      <c r="A14" s="494" t="s">
        <v>132</v>
      </c>
      <c r="B14" s="495"/>
      <c r="C14" s="495"/>
      <c r="D14" s="495"/>
      <c r="E14" s="37"/>
      <c r="F14" s="37"/>
      <c r="G14" s="37"/>
      <c r="H14" s="37"/>
      <c r="I14" s="37"/>
      <c r="J14" s="37"/>
      <c r="K14" s="38"/>
      <c r="L14" s="17"/>
    </row>
    <row r="15" spans="1:13" ht="27" customHeight="1" x14ac:dyDescent="0.25">
      <c r="A15" s="496" t="s">
        <v>133</v>
      </c>
      <c r="B15" s="497"/>
      <c r="C15" s="497"/>
      <c r="D15" s="497"/>
      <c r="E15" s="37"/>
      <c r="F15" s="37"/>
      <c r="G15" s="37"/>
      <c r="H15" s="37"/>
      <c r="I15" s="37"/>
      <c r="J15" s="37"/>
      <c r="K15" s="38"/>
      <c r="L15" s="17"/>
    </row>
    <row r="16" spans="1:13" x14ac:dyDescent="0.25">
      <c r="A16" s="496" t="s">
        <v>134</v>
      </c>
      <c r="B16" s="497"/>
      <c r="C16" s="497"/>
      <c r="D16" s="497"/>
      <c r="E16" s="37"/>
      <c r="F16" s="37"/>
      <c r="G16" s="37"/>
      <c r="H16" s="37"/>
      <c r="I16" s="37"/>
      <c r="J16" s="37"/>
      <c r="K16" s="38"/>
      <c r="L16" s="17"/>
    </row>
    <row r="17" spans="1:12" x14ac:dyDescent="0.25">
      <c r="A17" s="496" t="s">
        <v>135</v>
      </c>
      <c r="B17" s="497"/>
      <c r="C17" s="497"/>
      <c r="D17" s="497"/>
      <c r="E17" s="37"/>
      <c r="F17" s="37"/>
      <c r="G17" s="37"/>
      <c r="H17" s="37"/>
      <c r="I17" s="37"/>
      <c r="J17" s="37"/>
      <c r="K17" s="38"/>
      <c r="L17" s="17"/>
    </row>
    <row r="18" spans="1:12" x14ac:dyDescent="0.25">
      <c r="A18" s="496" t="s">
        <v>136</v>
      </c>
      <c r="B18" s="497"/>
      <c r="C18" s="497"/>
      <c r="D18" s="497"/>
      <c r="E18" s="37"/>
      <c r="F18" s="37"/>
      <c r="G18" s="37"/>
      <c r="H18" s="37"/>
      <c r="I18" s="37"/>
      <c r="J18" s="37"/>
      <c r="K18" s="38"/>
      <c r="L18" s="17"/>
    </row>
    <row r="19" spans="1:12" x14ac:dyDescent="0.25">
      <c r="A19" s="496" t="s">
        <v>137</v>
      </c>
      <c r="B19" s="497"/>
      <c r="C19" s="497"/>
      <c r="D19" s="497"/>
      <c r="E19" s="37"/>
      <c r="F19" s="37"/>
      <c r="G19" s="37"/>
      <c r="H19" s="37"/>
      <c r="I19" s="37"/>
      <c r="J19" s="37"/>
      <c r="K19" s="38"/>
      <c r="L19" s="17"/>
    </row>
    <row r="20" spans="1:12" x14ac:dyDescent="0.25">
      <c r="A20" s="496" t="s">
        <v>138</v>
      </c>
      <c r="B20" s="497"/>
      <c r="C20" s="497"/>
      <c r="D20" s="497"/>
      <c r="E20" s="37"/>
      <c r="F20" s="37"/>
      <c r="G20" s="37"/>
      <c r="H20" s="37"/>
      <c r="I20" s="37"/>
      <c r="J20" s="37"/>
      <c r="K20" s="38"/>
      <c r="L20" s="17"/>
    </row>
    <row r="21" spans="1:12" x14ac:dyDescent="0.25">
      <c r="A21" s="494" t="s">
        <v>139</v>
      </c>
      <c r="B21" s="495"/>
      <c r="C21" s="495"/>
      <c r="D21" s="495"/>
      <c r="E21" s="37"/>
      <c r="F21" s="37"/>
      <c r="G21" s="37"/>
      <c r="H21" s="37"/>
      <c r="I21" s="37"/>
      <c r="J21" s="37"/>
      <c r="K21" s="38"/>
      <c r="L21" s="17"/>
    </row>
    <row r="22" spans="1:12" x14ac:dyDescent="0.25">
      <c r="A22" s="494" t="s">
        <v>140</v>
      </c>
      <c r="B22" s="495"/>
      <c r="C22" s="495"/>
      <c r="D22" s="495"/>
      <c r="E22" s="37"/>
      <c r="F22" s="37"/>
      <c r="G22" s="37"/>
      <c r="H22" s="37"/>
      <c r="I22" s="37"/>
      <c r="J22" s="37"/>
      <c r="K22" s="38"/>
      <c r="L22" s="17"/>
    </row>
    <row r="23" spans="1:12" x14ac:dyDescent="0.25">
      <c r="A23" s="494" t="s">
        <v>141</v>
      </c>
      <c r="B23" s="495"/>
      <c r="C23" s="495"/>
      <c r="D23" s="495"/>
      <c r="E23" s="37"/>
      <c r="F23" s="37"/>
      <c r="G23" s="37"/>
      <c r="H23" s="37"/>
      <c r="I23" s="37"/>
      <c r="J23" s="37"/>
      <c r="K23" s="38"/>
      <c r="L23" s="17"/>
    </row>
    <row r="24" spans="1:12" x14ac:dyDescent="0.25">
      <c r="A24" s="491" t="s">
        <v>178</v>
      </c>
      <c r="B24" s="492"/>
      <c r="C24" s="492"/>
      <c r="D24" s="493"/>
      <c r="F24" s="37"/>
      <c r="G24" s="37"/>
      <c r="H24" s="37"/>
      <c r="I24" s="37"/>
      <c r="J24" s="37"/>
      <c r="K24" s="44">
        <f>257164.92+242877.98+9184.46+271451.86</f>
        <v>780679.22</v>
      </c>
      <c r="L24" s="17"/>
    </row>
    <row r="25" spans="1:12" s="40" customFormat="1" x14ac:dyDescent="0.25">
      <c r="A25" s="498" t="s">
        <v>142</v>
      </c>
      <c r="B25" s="499"/>
      <c r="C25" s="499"/>
      <c r="D25" s="499"/>
      <c r="F25" s="41"/>
      <c r="G25" s="41"/>
      <c r="H25" s="41"/>
      <c r="I25" s="41"/>
      <c r="J25" s="41"/>
      <c r="K25" s="45"/>
      <c r="L25" s="43"/>
    </row>
    <row r="26" spans="1:12" x14ac:dyDescent="0.25">
      <c r="A26" s="491" t="s">
        <v>177</v>
      </c>
      <c r="B26" s="492"/>
      <c r="C26" s="492"/>
      <c r="D26" s="493"/>
      <c r="E26" s="37"/>
      <c r="F26" s="37"/>
      <c r="G26" s="37"/>
      <c r="H26" s="37"/>
      <c r="I26" s="37"/>
      <c r="J26" s="37"/>
      <c r="K26" s="46">
        <f>2585+418+3123+2705+2512+418+244+418+2492+4040</f>
        <v>18955</v>
      </c>
      <c r="L26" s="17"/>
    </row>
    <row r="27" spans="1:12" ht="35.25" customHeight="1" x14ac:dyDescent="0.25">
      <c r="A27" s="491" t="s">
        <v>186</v>
      </c>
      <c r="B27" s="492"/>
      <c r="C27" s="492"/>
      <c r="D27" s="493"/>
      <c r="E27" s="37"/>
      <c r="F27" s="37"/>
      <c r="G27" s="37"/>
      <c r="H27" s="37"/>
      <c r="I27" s="37"/>
      <c r="J27" s="37"/>
      <c r="K27" s="24">
        <f>3422.07</f>
        <v>3422.07</v>
      </c>
      <c r="L27" s="17"/>
    </row>
    <row r="28" spans="1:12" ht="21.75" customHeight="1" x14ac:dyDescent="0.25">
      <c r="A28" s="494" t="s">
        <v>143</v>
      </c>
      <c r="B28" s="495"/>
      <c r="C28" s="495"/>
      <c r="D28" s="495"/>
      <c r="E28" s="37"/>
      <c r="F28" s="37"/>
      <c r="G28" s="37"/>
      <c r="H28" s="37"/>
      <c r="I28" s="37"/>
      <c r="J28" s="37"/>
      <c r="K28" s="46"/>
      <c r="L28" s="17"/>
    </row>
    <row r="29" spans="1:12" ht="21.75" customHeight="1" x14ac:dyDescent="0.25">
      <c r="A29" s="491" t="s">
        <v>187</v>
      </c>
      <c r="B29" s="492"/>
      <c r="C29" s="492"/>
      <c r="D29" s="493"/>
      <c r="E29" s="37"/>
      <c r="F29" s="37"/>
      <c r="G29" s="37"/>
      <c r="H29" s="37"/>
      <c r="I29" s="37"/>
      <c r="J29" s="37"/>
      <c r="K29" s="46">
        <f>2414.28+3328.78</f>
        <v>5743.06</v>
      </c>
      <c r="L29" s="17"/>
    </row>
    <row r="30" spans="1:12" ht="27" customHeight="1" x14ac:dyDescent="0.25">
      <c r="A30" s="494" t="s">
        <v>144</v>
      </c>
      <c r="B30" s="495"/>
      <c r="C30" s="495"/>
      <c r="D30" s="495"/>
      <c r="E30" s="37"/>
      <c r="F30" s="37"/>
      <c r="G30" s="37"/>
      <c r="H30" s="37"/>
      <c r="I30" s="37"/>
      <c r="J30" s="37"/>
      <c r="K30" s="46"/>
      <c r="L30" s="17"/>
    </row>
    <row r="31" spans="1:12" ht="27" customHeight="1" x14ac:dyDescent="0.25">
      <c r="A31" s="491" t="s">
        <v>181</v>
      </c>
      <c r="B31" s="492"/>
      <c r="C31" s="492"/>
      <c r="D31" s="493"/>
      <c r="E31" s="37"/>
      <c r="F31" s="37"/>
      <c r="G31" s="37"/>
      <c r="H31" s="37"/>
      <c r="I31" s="37"/>
      <c r="J31" s="37"/>
      <c r="K31" s="46">
        <f>400000+3050.85+320000</f>
        <v>723050.85</v>
      </c>
      <c r="L31" s="17"/>
    </row>
    <row r="32" spans="1:12" ht="27" customHeight="1" x14ac:dyDescent="0.25">
      <c r="A32" s="491"/>
      <c r="B32" s="492"/>
      <c r="C32" s="492"/>
      <c r="D32" s="493"/>
      <c r="E32" s="37"/>
      <c r="F32" s="37"/>
      <c r="G32" s="37"/>
      <c r="H32" s="37"/>
      <c r="I32" s="37"/>
      <c r="J32" s="37"/>
      <c r="K32" s="46"/>
      <c r="L32" s="17"/>
    </row>
    <row r="33" spans="1:13" ht="24.75" customHeight="1" x14ac:dyDescent="0.25">
      <c r="A33" s="494" t="s">
        <v>145</v>
      </c>
      <c r="B33" s="495"/>
      <c r="C33" s="495"/>
      <c r="D33" s="495"/>
      <c r="E33" s="37"/>
      <c r="F33" s="37"/>
      <c r="G33" s="37"/>
      <c r="H33" s="37"/>
      <c r="I33" s="37"/>
      <c r="J33" s="37"/>
      <c r="K33" s="46"/>
      <c r="L33" s="17"/>
    </row>
    <row r="34" spans="1:13" ht="24" customHeight="1" x14ac:dyDescent="0.25">
      <c r="A34" s="494" t="s">
        <v>146</v>
      </c>
      <c r="B34" s="495"/>
      <c r="C34" s="495"/>
      <c r="D34" s="495"/>
      <c r="E34" s="37"/>
      <c r="F34" s="37"/>
      <c r="G34" s="37"/>
      <c r="H34" s="37"/>
      <c r="I34" s="37"/>
      <c r="J34" s="37"/>
      <c r="K34" s="46"/>
      <c r="L34" s="17"/>
    </row>
    <row r="35" spans="1:13" ht="24" customHeight="1" x14ac:dyDescent="0.25">
      <c r="A35" s="491" t="s">
        <v>182</v>
      </c>
      <c r="B35" s="492"/>
      <c r="C35" s="492"/>
      <c r="D35" s="493"/>
      <c r="E35" s="37"/>
      <c r="F35" s="37"/>
      <c r="G35" s="37"/>
      <c r="H35" s="37"/>
      <c r="I35" s="37"/>
      <c r="J35" s="37"/>
      <c r="K35" s="46">
        <f>2237.29+135355.93+8949.15+141508.47+2237.29+141508.47</f>
        <v>431796.6</v>
      </c>
      <c r="L35" s="17"/>
    </row>
    <row r="36" spans="1:13" ht="24" customHeight="1" x14ac:dyDescent="0.25">
      <c r="A36" s="491" t="s">
        <v>183</v>
      </c>
      <c r="B36" s="492"/>
      <c r="C36" s="492"/>
      <c r="D36" s="493"/>
      <c r="E36" s="37"/>
      <c r="F36" s="37"/>
      <c r="G36" s="37"/>
      <c r="H36" s="37"/>
      <c r="I36" s="37"/>
      <c r="J36" s="37"/>
      <c r="K36" s="46">
        <f>23993.2+33148.5+26203.1</f>
        <v>83344.799999999988</v>
      </c>
      <c r="L36" s="17"/>
    </row>
    <row r="37" spans="1:13" x14ac:dyDescent="0.25">
      <c r="A37" s="494" t="s">
        <v>180</v>
      </c>
      <c r="B37" s="495"/>
      <c r="C37" s="495"/>
      <c r="D37" s="495"/>
      <c r="E37" s="37"/>
      <c r="F37" s="37"/>
      <c r="G37" s="37"/>
      <c r="H37" s="37"/>
      <c r="I37" s="37"/>
      <c r="J37" s="37"/>
      <c r="K37" s="46"/>
      <c r="L37" s="17"/>
    </row>
    <row r="38" spans="1:13" x14ac:dyDescent="0.25">
      <c r="A38" s="491" t="s">
        <v>179</v>
      </c>
      <c r="B38" s="492"/>
      <c r="C38" s="492"/>
      <c r="D38" s="493"/>
      <c r="E38" s="37"/>
      <c r="F38" s="37"/>
      <c r="G38" s="37"/>
      <c r="H38" s="37"/>
      <c r="I38" s="37"/>
      <c r="J38" s="37"/>
      <c r="K38" s="46">
        <f>3000+3000+3000</f>
        <v>9000</v>
      </c>
      <c r="L38" s="17"/>
    </row>
    <row r="39" spans="1:13" ht="30" customHeight="1" x14ac:dyDescent="0.25">
      <c r="A39" s="489" t="s">
        <v>130</v>
      </c>
      <c r="B39" s="490"/>
      <c r="C39" s="490"/>
      <c r="D39" s="490"/>
      <c r="E39" s="37"/>
      <c r="F39" s="37"/>
      <c r="G39" s="37"/>
      <c r="H39" s="37"/>
      <c r="I39" s="37"/>
      <c r="J39" s="37"/>
      <c r="K39" s="38">
        <f>162385.45+162385.45+162385.45</f>
        <v>487156.35000000003</v>
      </c>
      <c r="L39" s="17">
        <f>395870.58/1.18*12</f>
        <v>4025802.5084745763</v>
      </c>
      <c r="M39" t="s">
        <v>174</v>
      </c>
    </row>
    <row r="40" spans="1:13" ht="24.75" customHeight="1" x14ac:dyDescent="0.25">
      <c r="A40" s="489" t="s">
        <v>147</v>
      </c>
      <c r="B40" s="490"/>
      <c r="C40" s="490"/>
      <c r="D40" s="490"/>
      <c r="E40" s="37"/>
      <c r="F40" s="37"/>
      <c r="G40" s="37"/>
      <c r="H40" s="37"/>
      <c r="I40" s="37"/>
      <c r="J40" s="37"/>
      <c r="K40" s="38"/>
    </row>
    <row r="41" spans="1:13" ht="33" customHeight="1" x14ac:dyDescent="0.25">
      <c r="A41" s="494" t="s">
        <v>172</v>
      </c>
      <c r="B41" s="495"/>
      <c r="C41" s="495"/>
      <c r="D41" s="495"/>
      <c r="E41" s="37"/>
      <c r="F41" s="37"/>
      <c r="G41" s="37"/>
      <c r="H41" s="37"/>
      <c r="I41" s="37"/>
      <c r="J41" s="37"/>
      <c r="K41" s="38"/>
    </row>
    <row r="42" spans="1:13" ht="18.75" customHeight="1" x14ac:dyDescent="0.25">
      <c r="A42" s="494" t="s">
        <v>148</v>
      </c>
      <c r="B42" s="495"/>
      <c r="C42" s="495"/>
      <c r="D42" s="495"/>
      <c r="E42" s="37"/>
      <c r="F42" s="37"/>
      <c r="G42" s="37"/>
      <c r="H42" s="37"/>
      <c r="I42" s="37"/>
      <c r="J42" s="37"/>
      <c r="K42" s="38"/>
      <c r="L42" s="17">
        <f>SUM(E42:K42)</f>
        <v>0</v>
      </c>
      <c r="M42" t="s">
        <v>175</v>
      </c>
    </row>
    <row r="43" spans="1:13" ht="25.5" customHeight="1" x14ac:dyDescent="0.25">
      <c r="A43" s="494" t="s">
        <v>149</v>
      </c>
      <c r="B43" s="495"/>
      <c r="C43" s="495"/>
      <c r="D43" s="495"/>
      <c r="E43" s="37"/>
      <c r="F43" s="37"/>
      <c r="G43" s="37"/>
      <c r="H43" s="37"/>
      <c r="I43" s="37"/>
      <c r="J43" s="37"/>
      <c r="K43" s="38"/>
    </row>
    <row r="44" spans="1:13" ht="23.25" customHeight="1" x14ac:dyDescent="0.25">
      <c r="A44" s="494" t="s">
        <v>150</v>
      </c>
      <c r="B44" s="495"/>
      <c r="C44" s="495"/>
      <c r="D44" s="495"/>
      <c r="E44" s="4"/>
      <c r="F44" s="4"/>
      <c r="G44" s="4"/>
      <c r="H44" s="4"/>
      <c r="I44" s="4"/>
      <c r="J44" s="4"/>
      <c r="K44" s="24"/>
    </row>
    <row r="45" spans="1:13" ht="38.25" customHeight="1" x14ac:dyDescent="0.25">
      <c r="A45" s="484" t="s">
        <v>173</v>
      </c>
      <c r="B45" s="485"/>
      <c r="C45" s="485"/>
      <c r="D45" s="485"/>
      <c r="E45" s="21"/>
      <c r="F45" s="21"/>
      <c r="G45" s="21"/>
      <c r="H45" s="21"/>
      <c r="I45" s="21"/>
      <c r="J45" s="21"/>
      <c r="K45" s="25">
        <f>43162.13+43162.13+43162.13</f>
        <v>129486.38999999998</v>
      </c>
      <c r="L45">
        <f>K45+H45</f>
        <v>129486.38999999998</v>
      </c>
      <c r="M45" t="s">
        <v>176</v>
      </c>
    </row>
    <row r="46" spans="1:13" ht="38.25" customHeight="1" thickBot="1" x14ac:dyDescent="0.3">
      <c r="A46" s="509" t="s">
        <v>189</v>
      </c>
      <c r="B46" s="510"/>
      <c r="C46" s="510"/>
      <c r="D46" s="511"/>
      <c r="E46" s="47"/>
      <c r="F46" s="47"/>
      <c r="G46" s="47"/>
      <c r="H46" s="47"/>
      <c r="I46" s="47"/>
      <c r="J46" s="47"/>
      <c r="K46" s="48">
        <f>2200</f>
        <v>2200</v>
      </c>
    </row>
    <row r="47" spans="1:13" ht="38.25" customHeight="1" thickBot="1" x14ac:dyDescent="0.3">
      <c r="A47" s="512" t="s">
        <v>190</v>
      </c>
      <c r="B47" s="513"/>
      <c r="C47" s="513"/>
      <c r="D47" s="514"/>
      <c r="E47" s="47"/>
      <c r="F47" s="47"/>
      <c r="G47" s="47"/>
      <c r="H47" s="47"/>
      <c r="I47" s="47"/>
      <c r="J47" s="47"/>
      <c r="K47" s="48">
        <f>5560</f>
        <v>5560</v>
      </c>
    </row>
    <row r="48" spans="1:13" ht="27.75" customHeight="1" thickBot="1" x14ac:dyDescent="0.3">
      <c r="A48" s="486" t="s">
        <v>160</v>
      </c>
      <c r="B48" s="487"/>
      <c r="C48" s="487"/>
      <c r="D48" s="487"/>
      <c r="E48" s="22"/>
      <c r="F48" s="22"/>
      <c r="G48" s="22"/>
      <c r="H48" s="22"/>
      <c r="I48" s="22"/>
      <c r="J48" s="22"/>
      <c r="K48" s="23"/>
    </row>
    <row r="50" spans="1:8" x14ac:dyDescent="0.25">
      <c r="A50" t="s">
        <v>161</v>
      </c>
    </row>
    <row r="51" spans="1:8" ht="33" customHeight="1" x14ac:dyDescent="0.25">
      <c r="A51" s="488" t="s">
        <v>162</v>
      </c>
      <c r="B51" s="488"/>
      <c r="C51" s="488"/>
      <c r="D51" s="488"/>
      <c r="E51" s="488"/>
      <c r="F51" s="488"/>
      <c r="G51" s="488"/>
      <c r="H51">
        <f>395870.58</f>
        <v>395870.58</v>
      </c>
    </row>
    <row r="52" spans="1:8" ht="28.5" customHeight="1" x14ac:dyDescent="0.25">
      <c r="A52" s="488" t="s">
        <v>163</v>
      </c>
      <c r="B52" s="488"/>
      <c r="C52" s="488"/>
      <c r="D52" s="488"/>
      <c r="E52" s="488"/>
      <c r="F52" s="488"/>
      <c r="G52" s="488"/>
      <c r="H52">
        <v>298153.36</v>
      </c>
    </row>
  </sheetData>
  <mergeCells count="50">
    <mergeCell ref="A10:D10"/>
    <mergeCell ref="A4:D4"/>
    <mergeCell ref="A6:D6"/>
    <mergeCell ref="A9:D9"/>
    <mergeCell ref="A8:D8"/>
    <mergeCell ref="A1:D1"/>
    <mergeCell ref="A2:D2"/>
    <mergeCell ref="A3:D3"/>
    <mergeCell ref="A5:D5"/>
    <mergeCell ref="A7:D7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6:D36"/>
    <mergeCell ref="A23:D23"/>
    <mergeCell ref="A24:D24"/>
    <mergeCell ref="A25:D25"/>
    <mergeCell ref="A26:D26"/>
    <mergeCell ref="A28:D28"/>
    <mergeCell ref="A30:D30"/>
    <mergeCell ref="A27:D27"/>
    <mergeCell ref="A29:D29"/>
    <mergeCell ref="A31:D31"/>
    <mergeCell ref="A32:D32"/>
    <mergeCell ref="A33:D33"/>
    <mergeCell ref="A34:D34"/>
    <mergeCell ref="A35:D35"/>
    <mergeCell ref="A52:G52"/>
    <mergeCell ref="A46:D46"/>
    <mergeCell ref="A47:D47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8:D48"/>
    <mergeCell ref="A51:G5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>
    <tabColor rgb="FFFF0000"/>
  </sheetPr>
  <dimension ref="A1:Y127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J30" sqref="J30"/>
    </sheetView>
  </sheetViews>
  <sheetFormatPr defaultRowHeight="15" x14ac:dyDescent="0.25"/>
  <cols>
    <col min="4" max="4" width="29.7109375" customWidth="1"/>
    <col min="5" max="5" width="16.140625" customWidth="1"/>
    <col min="6" max="6" width="18.7109375" customWidth="1"/>
    <col min="7" max="7" width="16.28515625" customWidth="1"/>
    <col min="8" max="8" width="14.42578125" customWidth="1"/>
    <col min="9" max="9" width="14.85546875" customWidth="1"/>
    <col min="10" max="10" width="13.5703125" customWidth="1"/>
    <col min="11" max="11" width="14.42578125" customWidth="1"/>
    <col min="12" max="12" width="12.85546875" customWidth="1"/>
    <col min="13" max="13" width="13.28515625" customWidth="1"/>
    <col min="14" max="14" width="14.42578125" customWidth="1"/>
    <col min="15" max="15" width="14" customWidth="1"/>
    <col min="16" max="16" width="14.42578125" customWidth="1"/>
    <col min="17" max="17" width="15.5703125" customWidth="1"/>
    <col min="18" max="18" width="15.7109375" customWidth="1"/>
    <col min="19" max="19" width="16.140625" customWidth="1"/>
    <col min="21" max="21" width="14.5703125" customWidth="1"/>
    <col min="22" max="22" width="13.140625" customWidth="1"/>
    <col min="25" max="25" width="12.140625" bestFit="1" customWidth="1"/>
  </cols>
  <sheetData>
    <row r="1" spans="1:19" ht="29.25" customHeight="1" thickBot="1" x14ac:dyDescent="0.3">
      <c r="A1" s="486" t="s">
        <v>159</v>
      </c>
      <c r="B1" s="487"/>
      <c r="C1" s="487"/>
      <c r="D1" s="487"/>
      <c r="E1" s="521" t="s">
        <v>152</v>
      </c>
      <c r="F1" s="514"/>
      <c r="G1" s="521" t="s">
        <v>153</v>
      </c>
      <c r="H1" s="514"/>
      <c r="I1" s="521" t="s">
        <v>154</v>
      </c>
      <c r="J1" s="514"/>
      <c r="K1" s="521" t="s">
        <v>155</v>
      </c>
      <c r="L1" s="514"/>
      <c r="M1" s="521" t="s">
        <v>156</v>
      </c>
      <c r="N1" s="514"/>
      <c r="O1" s="521" t="s">
        <v>157</v>
      </c>
      <c r="P1" s="514"/>
      <c r="Q1" s="521" t="s">
        <v>158</v>
      </c>
      <c r="R1" s="522"/>
      <c r="S1" s="1" t="s">
        <v>171</v>
      </c>
    </row>
    <row r="2" spans="1:19" ht="29.25" customHeight="1" thickBot="1" x14ac:dyDescent="0.3">
      <c r="A2" s="575" t="s">
        <v>231</v>
      </c>
      <c r="B2" s="576"/>
      <c r="C2" s="576"/>
      <c r="D2" s="577"/>
      <c r="E2" s="191">
        <f>'[3]16'!$H$15</f>
        <v>4746920.32</v>
      </c>
      <c r="F2" s="81">
        <f>5561803.4/1.18</f>
        <v>4713392.7118644072</v>
      </c>
      <c r="G2" s="81">
        <v>6511605.8899999997</v>
      </c>
      <c r="H2" s="81">
        <f>7635753.37/1.18</f>
        <v>6470977.4322033906</v>
      </c>
      <c r="I2" s="81">
        <v>5094319.51</v>
      </c>
      <c r="J2" s="81">
        <f>6006460.08/1.18</f>
        <v>5090220.4067796618</v>
      </c>
      <c r="K2" s="81">
        <v>5825731.6399999997</v>
      </c>
      <c r="L2" s="81">
        <f>6835770.83/1.18</f>
        <v>5793026.1271186443</v>
      </c>
      <c r="M2" s="81">
        <v>3727100.91</v>
      </c>
      <c r="N2" s="81">
        <f>4397979.06/1.18</f>
        <v>3727100.8983050846</v>
      </c>
      <c r="O2" s="81">
        <f>5663777.34</f>
        <v>5663777.3399999999</v>
      </c>
      <c r="P2" s="81">
        <f>6640872.82/1.18</f>
        <v>5627858.3220338989</v>
      </c>
      <c r="Q2" s="239">
        <v>29814954.82</v>
      </c>
      <c r="R2" s="82">
        <f>34964020.92/1.18</f>
        <v>29630526.203389835</v>
      </c>
      <c r="S2" s="122">
        <f>SUM(F2:R2)</f>
        <v>117690592.21169494</v>
      </c>
    </row>
    <row r="3" spans="1:19" ht="35.25" customHeight="1" thickBot="1" x14ac:dyDescent="0.3">
      <c r="A3" s="504" t="s">
        <v>123</v>
      </c>
      <c r="B3" s="505"/>
      <c r="C3" s="505"/>
      <c r="D3" s="505"/>
      <c r="E3" s="188"/>
      <c r="F3" s="252">
        <f>E2-F2</f>
        <v>33527.608135593124</v>
      </c>
      <c r="G3" s="22"/>
      <c r="H3" s="251">
        <f>G2-H2</f>
        <v>40628.457796609029</v>
      </c>
      <c r="I3" s="22"/>
      <c r="J3" s="251">
        <f>I2-J2</f>
        <v>4099.1032203380018</v>
      </c>
      <c r="K3" s="22"/>
      <c r="L3" s="251">
        <f>K2-L2</f>
        <v>32705.51288135536</v>
      </c>
      <c r="M3" s="22"/>
      <c r="N3" s="251">
        <f>M2-N2</f>
        <v>1.1694915592670441E-2</v>
      </c>
      <c r="O3" s="22"/>
      <c r="P3" s="251">
        <f>O2-P2</f>
        <v>35919.017966100946</v>
      </c>
      <c r="Q3" s="240"/>
      <c r="R3" s="253">
        <f>Q2-R2</f>
        <v>184428.61661016569</v>
      </c>
      <c r="S3" s="17"/>
    </row>
    <row r="4" spans="1:19" ht="35.25" customHeight="1" x14ac:dyDescent="0.25">
      <c r="A4" s="518"/>
      <c r="B4" s="519"/>
      <c r="C4" s="519"/>
      <c r="D4" s="520"/>
      <c r="E4" s="19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189"/>
      <c r="R4" s="48"/>
      <c r="S4" s="17"/>
    </row>
    <row r="5" spans="1:19" s="16" customFormat="1" ht="26.25" customHeight="1" x14ac:dyDescent="0.25">
      <c r="A5" s="535" t="s">
        <v>124</v>
      </c>
      <c r="B5" s="536"/>
      <c r="C5" s="536"/>
      <c r="D5" s="536"/>
      <c r="E5" s="192">
        <f>'[3]16'!$H$16</f>
        <v>734244.465995976</v>
      </c>
      <c r="F5" s="215">
        <f>SUM(F6:F9)</f>
        <v>504198.8</v>
      </c>
      <c r="G5" s="235">
        <f>'[3]18'!$J$20</f>
        <v>1007202.6213153925</v>
      </c>
      <c r="H5" s="110">
        <f t="shared" ref="H5:R5" si="0">SUM(H6:H9)</f>
        <v>543931.16999999993</v>
      </c>
      <c r="I5" s="110"/>
      <c r="J5" s="110">
        <f t="shared" si="0"/>
        <v>356837.56</v>
      </c>
      <c r="K5" s="110"/>
      <c r="L5" s="110">
        <f t="shared" si="0"/>
        <v>583730.39</v>
      </c>
      <c r="M5" s="110"/>
      <c r="N5" s="110">
        <f t="shared" si="0"/>
        <v>289469.18</v>
      </c>
      <c r="O5" s="110"/>
      <c r="P5" s="110">
        <f t="shared" si="0"/>
        <v>467458.39</v>
      </c>
      <c r="Q5" s="110"/>
      <c r="R5" s="254">
        <f t="shared" si="0"/>
        <v>1928118.75</v>
      </c>
      <c r="S5" s="39">
        <f>SUM(F5:R5)</f>
        <v>5680946.8613153929</v>
      </c>
    </row>
    <row r="6" spans="1:19" s="141" customFormat="1" ht="26.25" customHeight="1" x14ac:dyDescent="0.25">
      <c r="A6" s="580" t="s">
        <v>297</v>
      </c>
      <c r="B6" s="581"/>
      <c r="C6" s="581"/>
      <c r="D6" s="582"/>
      <c r="E6" s="193"/>
      <c r="F6" s="216">
        <f>20777</f>
        <v>20777</v>
      </c>
      <c r="G6" s="154"/>
      <c r="H6" s="154">
        <f>30373</f>
        <v>30373</v>
      </c>
      <c r="I6" s="154"/>
      <c r="J6" s="154">
        <f>12217+11874</f>
        <v>24091</v>
      </c>
      <c r="K6" s="154"/>
      <c r="L6" s="154">
        <f>17518</f>
        <v>17518</v>
      </c>
      <c r="M6" s="154"/>
      <c r="N6" s="154">
        <f>16801</f>
        <v>16801</v>
      </c>
      <c r="O6" s="154"/>
      <c r="P6" s="154">
        <f>26618</f>
        <v>26618</v>
      </c>
      <c r="Q6" s="241"/>
      <c r="R6" s="255">
        <v>80661</v>
      </c>
      <c r="S6" s="249"/>
    </row>
    <row r="7" spans="1:19" ht="26.25" customHeight="1" x14ac:dyDescent="0.25">
      <c r="A7" s="515" t="s">
        <v>193</v>
      </c>
      <c r="B7" s="516"/>
      <c r="C7" s="516"/>
      <c r="D7" s="517"/>
      <c r="E7" s="194"/>
      <c r="F7" s="217">
        <f>35000</f>
        <v>35000</v>
      </c>
      <c r="G7" s="26"/>
      <c r="H7" s="26">
        <v>20000</v>
      </c>
      <c r="I7" s="26"/>
      <c r="J7" s="26">
        <f>35000</f>
        <v>35000</v>
      </c>
      <c r="K7" s="26"/>
      <c r="L7" s="26">
        <v>30000</v>
      </c>
      <c r="M7" s="26"/>
      <c r="N7" s="26"/>
      <c r="O7" s="26"/>
      <c r="P7" s="26">
        <f>35000+16000</f>
        <v>51000</v>
      </c>
      <c r="Q7" s="157"/>
      <c r="R7" s="27">
        <v>10000</v>
      </c>
      <c r="S7" s="39">
        <f t="shared" ref="S7:S119" si="1">SUM(F7:R7)</f>
        <v>181000</v>
      </c>
    </row>
    <row r="8" spans="1:19" ht="26.25" customHeight="1" x14ac:dyDescent="0.25">
      <c r="A8" s="515" t="s">
        <v>292</v>
      </c>
      <c r="B8" s="516"/>
      <c r="C8" s="516"/>
      <c r="D8" s="517"/>
      <c r="E8" s="194"/>
      <c r="F8" s="217">
        <f>128568+86994</f>
        <v>215562</v>
      </c>
      <c r="G8" s="26"/>
      <c r="H8" s="26">
        <f>187947+122594</f>
        <v>310541</v>
      </c>
      <c r="I8" s="26"/>
      <c r="J8" s="26">
        <f>147425+94679</f>
        <v>242104</v>
      </c>
      <c r="K8" s="26"/>
      <c r="L8" s="26">
        <f>108400+127208</f>
        <v>235608</v>
      </c>
      <c r="M8" s="26"/>
      <c r="N8" s="26">
        <f>103968+72533</f>
        <v>176501</v>
      </c>
      <c r="O8" s="26"/>
      <c r="P8" s="26">
        <f>164712+103861</f>
        <v>268573</v>
      </c>
      <c r="Q8" s="157"/>
      <c r="R8" s="27">
        <f>499136+586467</f>
        <v>1085603</v>
      </c>
      <c r="S8" s="39"/>
    </row>
    <row r="9" spans="1:19" ht="26.25" customHeight="1" x14ac:dyDescent="0.25">
      <c r="A9" s="537" t="s">
        <v>191</v>
      </c>
      <c r="B9" s="538"/>
      <c r="C9" s="538"/>
      <c r="D9" s="539"/>
      <c r="E9" s="195"/>
      <c r="F9" s="218">
        <f>82859.8+150000</f>
        <v>232859.8</v>
      </c>
      <c r="G9" s="133"/>
      <c r="H9" s="133">
        <f>33017.17+150000</f>
        <v>183017.16999999998</v>
      </c>
      <c r="I9" s="133"/>
      <c r="J9" s="133">
        <f>55642.56</f>
        <v>55642.559999999998</v>
      </c>
      <c r="K9" s="133"/>
      <c r="L9" s="133">
        <f>600604.39-300000</f>
        <v>300604.39</v>
      </c>
      <c r="M9" s="133"/>
      <c r="N9" s="133">
        <f>81245.01+14922.17</f>
        <v>96167.18</v>
      </c>
      <c r="O9" s="133"/>
      <c r="P9" s="133">
        <f>121267.39</f>
        <v>121267.39</v>
      </c>
      <c r="Q9" s="242"/>
      <c r="R9" s="134">
        <f>748754.75+3100</f>
        <v>751854.75</v>
      </c>
      <c r="S9" s="39">
        <f t="shared" si="1"/>
        <v>1741413.2399999998</v>
      </c>
    </row>
    <row r="10" spans="1:19" x14ac:dyDescent="0.25">
      <c r="A10" s="560" t="s">
        <v>125</v>
      </c>
      <c r="B10" s="561"/>
      <c r="C10" s="561"/>
      <c r="D10" s="561"/>
      <c r="E10" s="196">
        <f>'[3]16'!$H$18</f>
        <v>94317.581810865202</v>
      </c>
      <c r="F10" s="219">
        <f>SUM(F11:F16)</f>
        <v>59284</v>
      </c>
      <c r="G10" s="236">
        <f>'[3]18'!$J$22</f>
        <v>129380.49932344064</v>
      </c>
      <c r="H10" s="112">
        <f t="shared" ref="H10:R10" si="2">SUM(H11:H16)</f>
        <v>72620</v>
      </c>
      <c r="I10" s="112"/>
      <c r="J10" s="112">
        <f t="shared" si="2"/>
        <v>45145</v>
      </c>
      <c r="K10" s="112"/>
      <c r="L10" s="112">
        <f t="shared" si="2"/>
        <v>38108</v>
      </c>
      <c r="M10" s="112"/>
      <c r="N10" s="112">
        <f t="shared" si="2"/>
        <v>270505</v>
      </c>
      <c r="O10" s="112"/>
      <c r="P10" s="112">
        <f t="shared" si="2"/>
        <v>75046</v>
      </c>
      <c r="Q10" s="112"/>
      <c r="R10" s="256">
        <f t="shared" si="2"/>
        <v>212706</v>
      </c>
      <c r="S10" s="39">
        <f t="shared" si="1"/>
        <v>902794.49932344072</v>
      </c>
    </row>
    <row r="11" spans="1:19" x14ac:dyDescent="0.25">
      <c r="A11" s="580" t="s">
        <v>293</v>
      </c>
      <c r="B11" s="581"/>
      <c r="C11" s="581"/>
      <c r="D11" s="582"/>
      <c r="E11" s="197"/>
      <c r="F11" s="220">
        <f>16515+14600</f>
        <v>31115</v>
      </c>
      <c r="G11" s="15"/>
      <c r="H11" s="15">
        <f>24143+20575</f>
        <v>44718</v>
      </c>
      <c r="I11" s="15"/>
      <c r="J11" s="15">
        <f>21278+15890</f>
        <v>37168</v>
      </c>
      <c r="K11" s="15"/>
      <c r="L11" s="15">
        <f>14427+21350</f>
        <v>35777</v>
      </c>
      <c r="M11" s="15"/>
      <c r="N11" s="15">
        <f>30122+12173</f>
        <v>42295</v>
      </c>
      <c r="O11" s="15"/>
      <c r="P11" s="15">
        <f>23773+17431</f>
        <v>41204</v>
      </c>
      <c r="Q11" s="139"/>
      <c r="R11" s="257">
        <f>66432+98428</f>
        <v>164860</v>
      </c>
      <c r="S11" s="39"/>
    </row>
    <row r="12" spans="1:19" x14ac:dyDescent="0.25">
      <c r="A12" s="580" t="s">
        <v>298</v>
      </c>
      <c r="B12" s="581"/>
      <c r="C12" s="581"/>
      <c r="D12" s="582"/>
      <c r="E12" s="197"/>
      <c r="F12" s="220">
        <v>2669</v>
      </c>
      <c r="G12" s="15"/>
      <c r="H12" s="15">
        <v>3902</v>
      </c>
      <c r="I12" s="15"/>
      <c r="J12" s="15">
        <f>1763+1714</f>
        <v>3477</v>
      </c>
      <c r="K12" s="15"/>
      <c r="L12" s="15">
        <v>2331</v>
      </c>
      <c r="M12" s="15"/>
      <c r="N12" s="15">
        <f>4868+2132</f>
        <v>7000</v>
      </c>
      <c r="O12" s="15"/>
      <c r="P12" s="15">
        <v>3842</v>
      </c>
      <c r="Q12" s="139"/>
      <c r="R12" s="257">
        <f>10736</f>
        <v>10736</v>
      </c>
      <c r="S12" s="39"/>
    </row>
    <row r="13" spans="1:19" x14ac:dyDescent="0.25">
      <c r="A13" s="515" t="s">
        <v>194</v>
      </c>
      <c r="B13" s="516"/>
      <c r="C13" s="516"/>
      <c r="D13" s="517"/>
      <c r="E13" s="198"/>
      <c r="F13" s="221">
        <f>25500</f>
        <v>25500</v>
      </c>
      <c r="G13" s="6"/>
      <c r="H13" s="6">
        <f>24000</f>
        <v>24000</v>
      </c>
      <c r="I13" s="6"/>
      <c r="J13" s="6">
        <f>4500</f>
        <v>4500</v>
      </c>
      <c r="K13" s="6"/>
      <c r="L13" s="6"/>
      <c r="M13" s="6"/>
      <c r="N13" s="6">
        <f>127600+46560</f>
        <v>174160</v>
      </c>
      <c r="O13" s="6"/>
      <c r="P13" s="6"/>
      <c r="Q13" s="243"/>
      <c r="R13" s="140">
        <v>10000</v>
      </c>
      <c r="S13" s="39">
        <f t="shared" si="1"/>
        <v>238160</v>
      </c>
    </row>
    <row r="14" spans="1:19" x14ac:dyDescent="0.25">
      <c r="A14" s="515" t="s">
        <v>204</v>
      </c>
      <c r="B14" s="516"/>
      <c r="C14" s="516"/>
      <c r="D14" s="517"/>
      <c r="E14" s="198"/>
      <c r="F14" s="176"/>
      <c r="G14" s="4"/>
      <c r="H14" s="4"/>
      <c r="I14" s="4"/>
      <c r="J14" s="4"/>
      <c r="K14" s="4"/>
      <c r="L14" s="4"/>
      <c r="M14" s="4"/>
      <c r="N14" s="4">
        <f>11700</f>
        <v>11700</v>
      </c>
      <c r="O14" s="4"/>
      <c r="P14" s="4"/>
      <c r="Q14" s="244"/>
      <c r="R14" s="24"/>
      <c r="S14" s="39">
        <f t="shared" si="1"/>
        <v>11700</v>
      </c>
    </row>
    <row r="15" spans="1:19" x14ac:dyDescent="0.25">
      <c r="A15" s="515" t="s">
        <v>206</v>
      </c>
      <c r="B15" s="516"/>
      <c r="C15" s="516"/>
      <c r="D15" s="517"/>
      <c r="E15" s="198"/>
      <c r="F15" s="176"/>
      <c r="G15" s="4"/>
      <c r="H15" s="4"/>
      <c r="I15" s="4"/>
      <c r="J15" s="4"/>
      <c r="K15" s="4"/>
      <c r="L15" s="4"/>
      <c r="M15" s="4"/>
      <c r="N15" s="4"/>
      <c r="O15" s="4"/>
      <c r="P15" s="4">
        <f>30000</f>
        <v>30000</v>
      </c>
      <c r="Q15" s="244"/>
      <c r="R15" s="24"/>
      <c r="S15" s="39">
        <f t="shared" si="1"/>
        <v>30000</v>
      </c>
    </row>
    <row r="16" spans="1:19" ht="12" customHeight="1" x14ac:dyDescent="0.25">
      <c r="A16" s="515" t="s">
        <v>184</v>
      </c>
      <c r="B16" s="516"/>
      <c r="C16" s="516"/>
      <c r="D16" s="517"/>
      <c r="E16" s="198"/>
      <c r="F16" s="176"/>
      <c r="G16" s="4"/>
      <c r="H16" s="4"/>
      <c r="I16" s="4"/>
      <c r="J16" s="4"/>
      <c r="K16" s="4"/>
      <c r="L16" s="4"/>
      <c r="M16" s="4"/>
      <c r="N16" s="4">
        <f>35350</f>
        <v>35350</v>
      </c>
      <c r="O16" s="4"/>
      <c r="P16" s="4"/>
      <c r="Q16" s="244"/>
      <c r="R16" s="24">
        <f>27110</f>
        <v>27110</v>
      </c>
      <c r="S16" s="39">
        <f t="shared" si="1"/>
        <v>62460</v>
      </c>
    </row>
    <row r="17" spans="1:20" ht="24.75" customHeight="1" x14ac:dyDescent="0.25">
      <c r="A17" s="560" t="s">
        <v>126</v>
      </c>
      <c r="B17" s="561"/>
      <c r="C17" s="561"/>
      <c r="D17" s="561"/>
      <c r="E17" s="196">
        <f>'[3]16'!$H$19</f>
        <v>16714.508169014087</v>
      </c>
      <c r="F17" s="219">
        <f>SUM(F18:F19)</f>
        <v>5957</v>
      </c>
      <c r="G17" s="236">
        <f>'[3]18'!$J$23</f>
        <v>22928.189753521128</v>
      </c>
      <c r="H17" s="112">
        <f t="shared" ref="H17:R17" si="3">SUM(H18:H19)</f>
        <v>8573</v>
      </c>
      <c r="I17" s="112"/>
      <c r="J17" s="112">
        <f t="shared" si="3"/>
        <v>6614</v>
      </c>
      <c r="K17" s="112"/>
      <c r="L17" s="112">
        <f t="shared" si="3"/>
        <v>6457</v>
      </c>
      <c r="M17" s="112"/>
      <c r="N17" s="112">
        <f t="shared" si="3"/>
        <v>8002</v>
      </c>
      <c r="O17" s="112"/>
      <c r="P17" s="112">
        <f t="shared" si="3"/>
        <v>7327</v>
      </c>
      <c r="Q17" s="112"/>
      <c r="R17" s="256">
        <f t="shared" si="3"/>
        <v>29754</v>
      </c>
      <c r="S17" s="39">
        <f t="shared" si="1"/>
        <v>95612.189753521132</v>
      </c>
    </row>
    <row r="18" spans="1:20" s="153" customFormat="1" ht="24.75" customHeight="1" x14ac:dyDescent="0.25">
      <c r="A18" s="583" t="s">
        <v>297</v>
      </c>
      <c r="B18" s="584"/>
      <c r="C18" s="584"/>
      <c r="D18" s="585"/>
      <c r="E18" s="199"/>
      <c r="F18" s="222">
        <f>473+2557</f>
        <v>3030</v>
      </c>
      <c r="G18" s="155"/>
      <c r="H18" s="155">
        <f>691</f>
        <v>691</v>
      </c>
      <c r="I18" s="155"/>
      <c r="J18" s="155">
        <f>273+265</f>
        <v>538</v>
      </c>
      <c r="K18" s="155"/>
      <c r="L18" s="155">
        <f>378</f>
        <v>378</v>
      </c>
      <c r="M18" s="155"/>
      <c r="N18" s="155">
        <v>817</v>
      </c>
      <c r="O18" s="155"/>
      <c r="P18" s="155">
        <f>595</f>
        <v>595</v>
      </c>
      <c r="Q18" s="156"/>
      <c r="R18" s="258">
        <f>1741</f>
        <v>1741</v>
      </c>
      <c r="S18" s="250"/>
    </row>
    <row r="19" spans="1:20" s="153" customFormat="1" ht="24.75" customHeight="1" x14ac:dyDescent="0.25">
      <c r="A19" s="583" t="s">
        <v>293</v>
      </c>
      <c r="B19" s="584"/>
      <c r="C19" s="584"/>
      <c r="D19" s="585"/>
      <c r="E19" s="199"/>
      <c r="F19" s="222">
        <v>2927</v>
      </c>
      <c r="G19" s="155"/>
      <c r="H19" s="155">
        <f>4278+3604</f>
        <v>7882</v>
      </c>
      <c r="I19" s="155"/>
      <c r="J19" s="155">
        <f>3293+2783</f>
        <v>6076</v>
      </c>
      <c r="K19" s="155"/>
      <c r="L19" s="155">
        <f>2340+3739</f>
        <v>6079</v>
      </c>
      <c r="M19" s="155"/>
      <c r="N19" s="155">
        <f>5053+2132</f>
        <v>7185</v>
      </c>
      <c r="O19" s="155"/>
      <c r="P19" s="155">
        <f>3679+3053</f>
        <v>6732</v>
      </c>
      <c r="Q19" s="156"/>
      <c r="R19" s="258">
        <f>10773+17240</f>
        <v>28013</v>
      </c>
      <c r="S19" s="250"/>
    </row>
    <row r="20" spans="1:20" ht="15.75" thickBot="1" x14ac:dyDescent="0.3">
      <c r="A20" s="562" t="s">
        <v>188</v>
      </c>
      <c r="B20" s="563"/>
      <c r="C20" s="563"/>
      <c r="D20" s="564"/>
      <c r="E20" s="200"/>
      <c r="F20" s="223">
        <f t="shared" ref="F20:P20" si="4">1395.71</f>
        <v>1395.71</v>
      </c>
      <c r="G20" s="135"/>
      <c r="H20" s="135">
        <f t="shared" si="4"/>
        <v>1395.71</v>
      </c>
      <c r="I20" s="135"/>
      <c r="J20" s="135">
        <f t="shared" si="4"/>
        <v>1395.71</v>
      </c>
      <c r="K20" s="135"/>
      <c r="L20" s="135">
        <f t="shared" si="4"/>
        <v>1395.71</v>
      </c>
      <c r="M20" s="135"/>
      <c r="N20" s="135">
        <f t="shared" si="4"/>
        <v>1395.71</v>
      </c>
      <c r="O20" s="135"/>
      <c r="P20" s="135">
        <f t="shared" si="4"/>
        <v>1395.71</v>
      </c>
      <c r="Q20" s="135"/>
      <c r="R20" s="259">
        <f>1395.74</f>
        <v>1395.74</v>
      </c>
      <c r="S20" s="39">
        <f t="shared" si="1"/>
        <v>9770</v>
      </c>
    </row>
    <row r="21" spans="1:20" ht="15.75" thickBot="1" x14ac:dyDescent="0.3">
      <c r="A21" s="565" t="s">
        <v>127</v>
      </c>
      <c r="B21" s="566"/>
      <c r="C21" s="566"/>
      <c r="D21" s="566"/>
      <c r="E21" s="201">
        <f>'[3]16'!$H$20</f>
        <v>149236.68008048294</v>
      </c>
      <c r="F21" s="224">
        <f>SUM(F22:F23)</f>
        <v>137544.87691771862</v>
      </c>
      <c r="G21" s="237">
        <f>'[3]18'!$J$24</f>
        <v>204715.97994215295</v>
      </c>
      <c r="H21" s="54">
        <f t="shared" ref="H21:R21" si="5">SUM(H22:H23)</f>
        <v>195428.31908390659</v>
      </c>
      <c r="I21" s="54"/>
      <c r="J21" s="54">
        <f t="shared" si="5"/>
        <v>157033.43547530199</v>
      </c>
      <c r="K21" s="54"/>
      <c r="L21" s="54">
        <f t="shared" si="5"/>
        <v>218793.1441516084</v>
      </c>
      <c r="M21" s="54"/>
      <c r="N21" s="54">
        <f t="shared" si="5"/>
        <v>0</v>
      </c>
      <c r="O21" s="54"/>
      <c r="P21" s="54">
        <f t="shared" si="5"/>
        <v>173010.19057331912</v>
      </c>
      <c r="Q21" s="54"/>
      <c r="R21" s="55">
        <f t="shared" si="5"/>
        <v>1008344.1146981451</v>
      </c>
      <c r="S21" s="39">
        <f t="shared" si="1"/>
        <v>2094870.0608421527</v>
      </c>
    </row>
    <row r="22" spans="1:20" s="142" customFormat="1" ht="15.75" thickBot="1" x14ac:dyDescent="0.3">
      <c r="A22" s="586" t="s">
        <v>298</v>
      </c>
      <c r="B22" s="587"/>
      <c r="C22" s="587"/>
      <c r="D22" s="588"/>
      <c r="E22" s="202"/>
      <c r="F22" s="225">
        <v>4223</v>
      </c>
      <c r="G22" s="20"/>
      <c r="H22" s="20">
        <f>6173</f>
        <v>6173</v>
      </c>
      <c r="I22" s="20"/>
      <c r="J22" s="20">
        <f>2876+2795</f>
        <v>5671</v>
      </c>
      <c r="K22" s="20"/>
      <c r="L22" s="20">
        <v>8633</v>
      </c>
      <c r="M22" s="20"/>
      <c r="N22" s="20"/>
      <c r="O22" s="20"/>
      <c r="P22" s="20">
        <f>6266</f>
        <v>6266</v>
      </c>
      <c r="Q22" s="245"/>
      <c r="R22" s="143">
        <f>39750</f>
        <v>39750</v>
      </c>
      <c r="S22" s="249"/>
    </row>
    <row r="23" spans="1:20" s="142" customFormat="1" x14ac:dyDescent="0.25">
      <c r="A23" s="592" t="s">
        <v>293</v>
      </c>
      <c r="B23" s="593"/>
      <c r="C23" s="593"/>
      <c r="D23" s="594"/>
      <c r="E23" s="202"/>
      <c r="F23" s="225">
        <f>26132+'зп обслуживание УУ'!E13</f>
        <v>133321.87691771862</v>
      </c>
      <c r="G23" s="163"/>
      <c r="H23" s="163">
        <f>38201+'зп обслуживание УУ'!E14</f>
        <v>189255.31908390659</v>
      </c>
      <c r="I23" s="163"/>
      <c r="J23" s="163">
        <f>34703+'зп обслуживание УУ'!E18</f>
        <v>151362.43547530199</v>
      </c>
      <c r="K23" s="163"/>
      <c r="L23" s="163">
        <f>53420+'зп обслуживание УУ'!E17</f>
        <v>210160.1441516084</v>
      </c>
      <c r="M23" s="163"/>
      <c r="N23" s="20"/>
      <c r="O23" s="20"/>
      <c r="P23" s="163">
        <f>38772+'зп обслуживание УУ'!E16</f>
        <v>166744.19057331912</v>
      </c>
      <c r="Q23" s="246"/>
      <c r="R23" s="164">
        <f>245977+'зп обслуживание УУ'!E19</f>
        <v>968594.11469814507</v>
      </c>
      <c r="S23" s="249"/>
    </row>
    <row r="24" spans="1:20" x14ac:dyDescent="0.25">
      <c r="A24" s="567" t="s">
        <v>128</v>
      </c>
      <c r="B24" s="568"/>
      <c r="C24" s="568"/>
      <c r="D24" s="568"/>
      <c r="E24" s="203">
        <f>'[3]16'!$H$21</f>
        <v>20296.188490945675</v>
      </c>
      <c r="F24" s="218">
        <f>574+3554</f>
        <v>4128</v>
      </c>
      <c r="G24" s="238">
        <f>'[3]18'!$J$25</f>
        <v>27841.373272132798</v>
      </c>
      <c r="H24" s="133">
        <f>840+5195</f>
        <v>6035</v>
      </c>
      <c r="I24" s="133"/>
      <c r="J24" s="133">
        <f>357+347+4306</f>
        <v>5010</v>
      </c>
      <c r="K24" s="133"/>
      <c r="L24" s="133">
        <f>1071+6629</f>
        <v>7700</v>
      </c>
      <c r="M24" s="133"/>
      <c r="N24" s="133">
        <f>534+3304</f>
        <v>3838</v>
      </c>
      <c r="O24" s="133"/>
      <c r="P24" s="133">
        <f>777+4811</f>
        <v>5588</v>
      </c>
      <c r="Q24" s="242"/>
      <c r="R24" s="134">
        <f>30523+4933</f>
        <v>35456</v>
      </c>
      <c r="S24" s="39">
        <f t="shared" si="1"/>
        <v>95596.373272132798</v>
      </c>
    </row>
    <row r="25" spans="1:20" x14ac:dyDescent="0.25">
      <c r="A25" s="515"/>
      <c r="B25" s="516"/>
      <c r="C25" s="516"/>
      <c r="D25" s="517"/>
      <c r="E25" s="194"/>
      <c r="F25" s="21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57"/>
      <c r="R25" s="27"/>
      <c r="S25" s="39"/>
    </row>
    <row r="26" spans="1:20" ht="19.5" customHeight="1" x14ac:dyDescent="0.25">
      <c r="A26" s="542" t="s">
        <v>250</v>
      </c>
      <c r="B26" s="543"/>
      <c r="C26" s="543"/>
      <c r="D26" s="544"/>
      <c r="E26" s="204">
        <f>'[3]16'!$H$22</f>
        <v>156400.04072434609</v>
      </c>
      <c r="F26" s="219">
        <f>SUM(F27:F30)</f>
        <v>188487.72</v>
      </c>
      <c r="G26" s="113">
        <f>'[3]18'!$J$26</f>
        <v>214542.34697937628</v>
      </c>
      <c r="H26" s="113">
        <f t="shared" ref="H26:R26" si="6">SUM(H27:H30)</f>
        <v>262680.40000000002</v>
      </c>
      <c r="I26" s="113"/>
      <c r="J26" s="113">
        <f t="shared" si="6"/>
        <v>207496.08</v>
      </c>
      <c r="K26" s="113"/>
      <c r="L26" s="113">
        <f t="shared" si="6"/>
        <v>150734.52000000002</v>
      </c>
      <c r="M26" s="113"/>
      <c r="N26" s="113">
        <f t="shared" si="6"/>
        <v>212039.28</v>
      </c>
      <c r="O26" s="113"/>
      <c r="P26" s="113">
        <f t="shared" si="6"/>
        <v>417283.08</v>
      </c>
      <c r="Q26" s="113"/>
      <c r="R26" s="260">
        <f t="shared" si="6"/>
        <v>1786048.8</v>
      </c>
      <c r="S26" s="39">
        <f t="shared" si="1"/>
        <v>3439312.2269793763</v>
      </c>
    </row>
    <row r="27" spans="1:20" s="142" customFormat="1" ht="19.5" customHeight="1" x14ac:dyDescent="0.25">
      <c r="A27" s="583" t="s">
        <v>297</v>
      </c>
      <c r="B27" s="584"/>
      <c r="C27" s="584"/>
      <c r="D27" s="585"/>
      <c r="E27" s="205"/>
      <c r="F27" s="226">
        <f>4426</f>
        <v>4426</v>
      </c>
      <c r="G27" s="158"/>
      <c r="H27" s="158">
        <f>6470</f>
        <v>6470</v>
      </c>
      <c r="I27" s="158"/>
      <c r="J27" s="158">
        <f>2938</f>
        <v>2938</v>
      </c>
      <c r="K27" s="158"/>
      <c r="L27" s="158">
        <v>3781</v>
      </c>
      <c r="M27" s="158"/>
      <c r="N27" s="158"/>
      <c r="O27" s="158"/>
      <c r="P27" s="158">
        <f>6586</f>
        <v>6586</v>
      </c>
      <c r="Q27" s="159"/>
      <c r="R27" s="261">
        <f>17409</f>
        <v>17409</v>
      </c>
      <c r="S27" s="249"/>
    </row>
    <row r="28" spans="1:20" s="142" customFormat="1" ht="19.5" customHeight="1" x14ac:dyDescent="0.25">
      <c r="A28" s="583" t="s">
        <v>293</v>
      </c>
      <c r="B28" s="584"/>
      <c r="C28" s="584"/>
      <c r="D28" s="585"/>
      <c r="E28" s="205"/>
      <c r="F28" s="226">
        <v>27386</v>
      </c>
      <c r="G28" s="158"/>
      <c r="H28" s="158">
        <v>40034</v>
      </c>
      <c r="I28" s="158"/>
      <c r="J28" s="158">
        <f>36476</f>
        <v>36476</v>
      </c>
      <c r="K28" s="158"/>
      <c r="L28" s="158">
        <v>23396</v>
      </c>
      <c r="M28" s="158"/>
      <c r="N28" s="158"/>
      <c r="O28" s="158"/>
      <c r="P28" s="158">
        <v>40754</v>
      </c>
      <c r="Q28" s="159"/>
      <c r="R28" s="261">
        <f>107727</f>
        <v>107727</v>
      </c>
      <c r="S28" s="249"/>
    </row>
    <row r="29" spans="1:20" x14ac:dyDescent="0.25">
      <c r="A29" s="540" t="s">
        <v>129</v>
      </c>
      <c r="B29" s="541"/>
      <c r="C29" s="541"/>
      <c r="D29" s="541"/>
      <c r="E29" s="206"/>
      <c r="F29" s="213">
        <f>156675.72</f>
        <v>156675.72</v>
      </c>
      <c r="G29" s="37"/>
      <c r="H29" s="37">
        <f>216176.4</f>
        <v>216176.4</v>
      </c>
      <c r="I29" s="37"/>
      <c r="J29" s="37">
        <f>168082.08</f>
        <v>168082.08</v>
      </c>
      <c r="K29" s="37"/>
      <c r="L29" s="37">
        <f>123557.52</f>
        <v>123557.52</v>
      </c>
      <c r="M29" s="37"/>
      <c r="N29" s="37">
        <f>212039.28</f>
        <v>212039.28</v>
      </c>
      <c r="O29" s="37"/>
      <c r="P29" s="37">
        <f>352453.68</f>
        <v>352453.68</v>
      </c>
      <c r="Q29" s="132"/>
      <c r="R29" s="38">
        <f>24702.96+1636209.84</f>
        <v>1660912.8</v>
      </c>
      <c r="S29" s="39">
        <f t="shared" si="1"/>
        <v>2889897.48</v>
      </c>
      <c r="T29" t="s">
        <v>174</v>
      </c>
    </row>
    <row r="30" spans="1:20" x14ac:dyDescent="0.25">
      <c r="A30" s="523" t="s">
        <v>251</v>
      </c>
      <c r="B30" s="524"/>
      <c r="C30" s="524"/>
      <c r="D30" s="525"/>
      <c r="E30" s="207"/>
      <c r="F30" s="213"/>
      <c r="G30" s="37"/>
      <c r="H30" s="37"/>
      <c r="I30" s="37"/>
      <c r="J30" s="37"/>
      <c r="K30" s="37"/>
      <c r="L30" s="37"/>
      <c r="M30" s="37"/>
      <c r="N30" s="37"/>
      <c r="O30" s="37"/>
      <c r="P30" s="37">
        <f>17489.4</f>
        <v>17489.400000000001</v>
      </c>
      <c r="Q30" s="132"/>
      <c r="R30" s="38"/>
      <c r="S30" s="39">
        <f t="shared" si="1"/>
        <v>17489.400000000001</v>
      </c>
    </row>
    <row r="31" spans="1:20" ht="30" customHeight="1" x14ac:dyDescent="0.25">
      <c r="A31" s="496" t="s">
        <v>131</v>
      </c>
      <c r="B31" s="497"/>
      <c r="C31" s="497"/>
      <c r="D31" s="497"/>
      <c r="E31" s="208">
        <f>'[3]16'!$H$24</f>
        <v>149236.68008048294</v>
      </c>
      <c r="F31" s="208">
        <f>SUM(F32:F34)</f>
        <v>62173.009999999995</v>
      </c>
      <c r="G31" s="119">
        <f>'[3]18'!$J$28</f>
        <v>204715.97994215295</v>
      </c>
      <c r="H31" s="119">
        <f t="shared" ref="H31:R31" si="7">SUM(H32:H34)</f>
        <v>90085.19</v>
      </c>
      <c r="I31" s="119"/>
      <c r="J31" s="119">
        <f t="shared" si="7"/>
        <v>72076.84</v>
      </c>
      <c r="K31" s="119"/>
      <c r="L31" s="119">
        <f t="shared" si="7"/>
        <v>107945.72</v>
      </c>
      <c r="M31" s="119"/>
      <c r="N31" s="119">
        <f t="shared" si="7"/>
        <v>53666.57</v>
      </c>
      <c r="O31" s="119"/>
      <c r="P31" s="119">
        <f t="shared" si="7"/>
        <v>78007.739999999991</v>
      </c>
      <c r="Q31" s="119"/>
      <c r="R31" s="262">
        <f t="shared" si="7"/>
        <v>491439.03</v>
      </c>
      <c r="S31" s="39">
        <f t="shared" si="1"/>
        <v>1160110.0799421528</v>
      </c>
    </row>
    <row r="32" spans="1:20" ht="30" customHeight="1" x14ac:dyDescent="0.25">
      <c r="A32" s="491">
        <v>26</v>
      </c>
      <c r="B32" s="492"/>
      <c r="C32" s="492"/>
      <c r="D32" s="493"/>
      <c r="E32" s="198"/>
      <c r="F32" s="213">
        <f>4223</f>
        <v>4223</v>
      </c>
      <c r="G32" s="37"/>
      <c r="H32" s="37">
        <f>6173</f>
        <v>6173</v>
      </c>
      <c r="I32" s="37"/>
      <c r="J32" s="37">
        <f>2561+2489</f>
        <v>5050</v>
      </c>
      <c r="K32" s="37"/>
      <c r="L32" s="37">
        <f>7436</f>
        <v>7436</v>
      </c>
      <c r="M32" s="37"/>
      <c r="N32" s="37">
        <f>3769</f>
        <v>3769</v>
      </c>
      <c r="O32" s="37"/>
      <c r="P32" s="37">
        <f>5580</f>
        <v>5580</v>
      </c>
      <c r="Q32" s="132"/>
      <c r="R32" s="38">
        <f>34238</f>
        <v>34238</v>
      </c>
      <c r="S32" s="39"/>
    </row>
    <row r="33" spans="1:19" ht="30" customHeight="1" x14ac:dyDescent="0.25">
      <c r="A33" s="491" t="s">
        <v>293</v>
      </c>
      <c r="B33" s="492"/>
      <c r="C33" s="492"/>
      <c r="D33" s="493"/>
      <c r="E33" s="198"/>
      <c r="F33" s="213">
        <v>26132</v>
      </c>
      <c r="G33" s="37"/>
      <c r="H33" s="37">
        <v>38201</v>
      </c>
      <c r="I33" s="37"/>
      <c r="J33" s="37">
        <f>30904</f>
        <v>30904</v>
      </c>
      <c r="K33" s="37"/>
      <c r="L33" s="37">
        <v>46011</v>
      </c>
      <c r="M33" s="37"/>
      <c r="N33" s="37">
        <v>23320</v>
      </c>
      <c r="O33" s="37"/>
      <c r="P33" s="37">
        <v>34527</v>
      </c>
      <c r="Q33" s="132"/>
      <c r="R33" s="38">
        <f>211864</f>
        <v>211864</v>
      </c>
      <c r="S33" s="39"/>
    </row>
    <row r="34" spans="1:19" ht="30" customHeight="1" x14ac:dyDescent="0.25">
      <c r="A34" s="491" t="s">
        <v>199</v>
      </c>
      <c r="B34" s="492"/>
      <c r="C34" s="492"/>
      <c r="D34" s="493"/>
      <c r="E34" s="198"/>
      <c r="F34" s="213">
        <f>31818.01</f>
        <v>31818.01</v>
      </c>
      <c r="G34" s="37"/>
      <c r="H34" s="37">
        <f>45711.19</f>
        <v>45711.19</v>
      </c>
      <c r="I34" s="37"/>
      <c r="J34" s="37">
        <f>36122.84</f>
        <v>36122.839999999997</v>
      </c>
      <c r="K34" s="37"/>
      <c r="L34" s="37">
        <f>54498.72</f>
        <v>54498.720000000001</v>
      </c>
      <c r="M34" s="37"/>
      <c r="N34" s="37">
        <f>26577.57</f>
        <v>26577.57</v>
      </c>
      <c r="O34" s="37"/>
      <c r="P34" s="37">
        <f>37900.74</f>
        <v>37900.74</v>
      </c>
      <c r="Q34" s="132"/>
      <c r="R34" s="38">
        <f>245337.03</f>
        <v>245337.03</v>
      </c>
      <c r="S34" s="39">
        <f t="shared" si="1"/>
        <v>477966.1</v>
      </c>
    </row>
    <row r="35" spans="1:19" ht="31.5" customHeight="1" x14ac:dyDescent="0.25">
      <c r="A35" s="496" t="s">
        <v>132</v>
      </c>
      <c r="B35" s="497"/>
      <c r="C35" s="497"/>
      <c r="D35" s="497"/>
      <c r="E35" s="208">
        <f>'[3]16'!$H$25</f>
        <v>56112.991710261573</v>
      </c>
      <c r="F35" s="208">
        <f>SUM(F36:F38)</f>
        <v>213567</v>
      </c>
      <c r="G35" s="119">
        <f>'[3]18'!$J$29</f>
        <v>76973.208458249486</v>
      </c>
      <c r="H35" s="119">
        <f t="shared" ref="H35:R35" si="8">SUM(H36:H38)</f>
        <v>231102</v>
      </c>
      <c r="I35" s="119"/>
      <c r="J35" s="119">
        <f t="shared" si="8"/>
        <v>233535.46</v>
      </c>
      <c r="K35" s="119"/>
      <c r="L35" s="119">
        <f t="shared" si="8"/>
        <v>205101</v>
      </c>
      <c r="M35" s="119"/>
      <c r="N35" s="119">
        <f t="shared" si="8"/>
        <v>219838.19</v>
      </c>
      <c r="O35" s="119"/>
      <c r="P35" s="119">
        <f t="shared" si="8"/>
        <v>200721</v>
      </c>
      <c r="Q35" s="119"/>
      <c r="R35" s="262">
        <f t="shared" si="8"/>
        <v>1175900</v>
      </c>
      <c r="S35" s="39">
        <f t="shared" si="1"/>
        <v>2556737.8584582494</v>
      </c>
    </row>
    <row r="36" spans="1:19" ht="31.5" customHeight="1" x14ac:dyDescent="0.25">
      <c r="A36" s="491" t="s">
        <v>297</v>
      </c>
      <c r="B36" s="492"/>
      <c r="C36" s="492"/>
      <c r="D36" s="493"/>
      <c r="E36" s="209"/>
      <c r="F36" s="227">
        <f>1588</f>
        <v>1588</v>
      </c>
      <c r="G36" s="114"/>
      <c r="H36" s="114">
        <f>2321</f>
        <v>2321</v>
      </c>
      <c r="I36" s="114"/>
      <c r="J36" s="114">
        <f>1218+1183</f>
        <v>2401</v>
      </c>
      <c r="K36" s="114"/>
      <c r="L36" s="114">
        <v>4537</v>
      </c>
      <c r="M36" s="114"/>
      <c r="N36" s="114">
        <f>2324</f>
        <v>2324</v>
      </c>
      <c r="O36" s="114"/>
      <c r="P36" s="114">
        <v>2653</v>
      </c>
      <c r="Q36" s="145"/>
      <c r="R36" s="115">
        <v>20891</v>
      </c>
      <c r="S36" s="39"/>
    </row>
    <row r="37" spans="1:19" ht="31.5" customHeight="1" x14ac:dyDescent="0.25">
      <c r="A37" s="491" t="s">
        <v>293</v>
      </c>
      <c r="B37" s="492"/>
      <c r="C37" s="492"/>
      <c r="D37" s="493"/>
      <c r="E37" s="209"/>
      <c r="F37" s="227">
        <f>9826+152153+50000</f>
        <v>211979</v>
      </c>
      <c r="G37" s="114"/>
      <c r="H37" s="114">
        <f>14363+214418</f>
        <v>228781</v>
      </c>
      <c r="I37" s="114"/>
      <c r="J37" s="114">
        <f>14692+165595</f>
        <v>180287</v>
      </c>
      <c r="K37" s="114"/>
      <c r="L37" s="114">
        <f>28075+222489-50000</f>
        <v>200564</v>
      </c>
      <c r="M37" s="114"/>
      <c r="N37" s="114">
        <f>14381+126862</f>
        <v>141243</v>
      </c>
      <c r="O37" s="114"/>
      <c r="P37" s="114">
        <f>16415+181653</f>
        <v>198068</v>
      </c>
      <c r="Q37" s="145"/>
      <c r="R37" s="115">
        <f>129273+1025736</f>
        <v>1155009</v>
      </c>
      <c r="S37" s="39"/>
    </row>
    <row r="38" spans="1:19" ht="30.75" customHeight="1" thickBot="1" x14ac:dyDescent="0.3">
      <c r="A38" s="569" t="s">
        <v>205</v>
      </c>
      <c r="B38" s="570"/>
      <c r="C38" s="570"/>
      <c r="D38" s="571"/>
      <c r="E38" s="209"/>
      <c r="F38" s="227"/>
      <c r="G38" s="114"/>
      <c r="H38" s="114"/>
      <c r="I38" s="114"/>
      <c r="J38" s="114">
        <f>50847.46</f>
        <v>50847.46</v>
      </c>
      <c r="K38" s="114"/>
      <c r="L38" s="114"/>
      <c r="M38" s="114"/>
      <c r="N38" s="114">
        <f>76271.19</f>
        <v>76271.19</v>
      </c>
      <c r="O38" s="114"/>
      <c r="P38" s="114"/>
      <c r="Q38" s="145"/>
      <c r="R38" s="115"/>
      <c r="S38" s="39">
        <f t="shared" si="1"/>
        <v>127118.65</v>
      </c>
    </row>
    <row r="39" spans="1:19" ht="27" customHeight="1" thickBot="1" x14ac:dyDescent="0.3">
      <c r="A39" s="556" t="s">
        <v>133</v>
      </c>
      <c r="B39" s="557"/>
      <c r="C39" s="557"/>
      <c r="D39" s="557"/>
      <c r="E39" s="210">
        <f>'[3]16'!$H$26</f>
        <v>63276.352354124756</v>
      </c>
      <c r="F39" s="210">
        <f>SUM(F40:F48)</f>
        <v>180143.31781403592</v>
      </c>
      <c r="G39" s="118">
        <f>'[3]18'!$J$30</f>
        <v>86799.575495472847</v>
      </c>
      <c r="H39" s="118">
        <f t="shared" ref="H39:R39" si="9">SUM(H40:H48)</f>
        <v>254639.86040260555</v>
      </c>
      <c r="I39" s="118"/>
      <c r="J39" s="118">
        <f t="shared" si="9"/>
        <v>217137.74638017244</v>
      </c>
      <c r="K39" s="118"/>
      <c r="L39" s="118">
        <f t="shared" si="9"/>
        <v>263273.21014028601</v>
      </c>
      <c r="M39" s="118"/>
      <c r="N39" s="118">
        <f t="shared" si="9"/>
        <v>223792.44199960653</v>
      </c>
      <c r="O39" s="118"/>
      <c r="P39" s="118">
        <f t="shared" si="9"/>
        <v>232551.47244435339</v>
      </c>
      <c r="Q39" s="118"/>
      <c r="R39" s="263">
        <f t="shared" si="9"/>
        <v>1228569.37485894</v>
      </c>
      <c r="S39" s="39">
        <f t="shared" si="1"/>
        <v>2686906.9995354731</v>
      </c>
    </row>
    <row r="40" spans="1:19" s="142" customFormat="1" ht="27" customHeight="1" thickBot="1" x14ac:dyDescent="0.3">
      <c r="A40" s="589">
        <v>26</v>
      </c>
      <c r="B40" s="590"/>
      <c r="C40" s="590"/>
      <c r="D40" s="591"/>
      <c r="E40" s="211"/>
      <c r="F40" s="228">
        <v>1719</v>
      </c>
      <c r="G40" s="146"/>
      <c r="H40" s="146">
        <f>2617</f>
        <v>2617</v>
      </c>
      <c r="I40" s="146"/>
      <c r="J40" s="146">
        <f>3170+1897</f>
        <v>5067</v>
      </c>
      <c r="K40" s="146"/>
      <c r="L40" s="146">
        <v>2584</v>
      </c>
      <c r="M40" s="146"/>
      <c r="N40" s="146">
        <f>10835</f>
        <v>10835</v>
      </c>
      <c r="O40" s="146"/>
      <c r="P40" s="146">
        <v>4253</v>
      </c>
      <c r="Q40" s="147"/>
      <c r="R40" s="264">
        <f>11896</f>
        <v>11896</v>
      </c>
      <c r="S40" s="249"/>
    </row>
    <row r="41" spans="1:19" s="142" customFormat="1" ht="27" customHeight="1" x14ac:dyDescent="0.25">
      <c r="A41" s="572" t="s">
        <v>293</v>
      </c>
      <c r="B41" s="573"/>
      <c r="C41" s="573"/>
      <c r="D41" s="574"/>
      <c r="E41" s="211"/>
      <c r="F41" s="228">
        <f>11080+83672</f>
        <v>94752</v>
      </c>
      <c r="G41" s="146"/>
      <c r="H41" s="146">
        <f>16197+117913</f>
        <v>134110</v>
      </c>
      <c r="I41" s="146"/>
      <c r="J41" s="146">
        <f>23558+91064</f>
        <v>114622</v>
      </c>
      <c r="K41" s="146"/>
      <c r="L41" s="146">
        <f>15987+122351</f>
        <v>138338</v>
      </c>
      <c r="M41" s="146"/>
      <c r="N41" s="146">
        <f>67045+69764</f>
        <v>136809</v>
      </c>
      <c r="O41" s="146"/>
      <c r="P41" s="146">
        <f>26320+99895</f>
        <v>126215</v>
      </c>
      <c r="Q41" s="147"/>
      <c r="R41" s="264">
        <f>73614+564074</f>
        <v>637688</v>
      </c>
      <c r="S41" s="249"/>
    </row>
    <row r="42" spans="1:19" x14ac:dyDescent="0.25">
      <c r="A42" s="558" t="s">
        <v>134</v>
      </c>
      <c r="B42" s="559"/>
      <c r="C42" s="559"/>
      <c r="D42" s="559"/>
      <c r="E42" s="212"/>
      <c r="F42" s="229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247"/>
      <c r="R42" s="117"/>
      <c r="S42" s="39">
        <f t="shared" si="1"/>
        <v>0</v>
      </c>
    </row>
    <row r="43" spans="1:19" x14ac:dyDescent="0.25">
      <c r="A43" s="540" t="s">
        <v>135</v>
      </c>
      <c r="B43" s="541"/>
      <c r="C43" s="541"/>
      <c r="D43" s="541"/>
      <c r="E43" s="206"/>
      <c r="F43" s="213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132"/>
      <c r="R43" s="38"/>
      <c r="S43" s="39">
        <f t="shared" si="1"/>
        <v>0</v>
      </c>
    </row>
    <row r="44" spans="1:19" x14ac:dyDescent="0.25">
      <c r="A44" s="540" t="s">
        <v>136</v>
      </c>
      <c r="B44" s="541"/>
      <c r="C44" s="541"/>
      <c r="D44" s="541"/>
      <c r="E44" s="206"/>
      <c r="F44" s="213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132"/>
      <c r="R44" s="38">
        <f>12722.63</f>
        <v>12722.63</v>
      </c>
      <c r="S44" s="39">
        <f t="shared" si="1"/>
        <v>12722.63</v>
      </c>
    </row>
    <row r="45" spans="1:19" x14ac:dyDescent="0.25">
      <c r="A45" s="540" t="s">
        <v>137</v>
      </c>
      <c r="B45" s="541"/>
      <c r="C45" s="541"/>
      <c r="D45" s="541"/>
      <c r="E45" s="206"/>
      <c r="F45" s="213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132"/>
      <c r="R45" s="38"/>
      <c r="S45" s="39">
        <f t="shared" si="1"/>
        <v>0</v>
      </c>
    </row>
    <row r="46" spans="1:19" x14ac:dyDescent="0.25">
      <c r="A46" s="523" t="s">
        <v>291</v>
      </c>
      <c r="B46" s="524"/>
      <c r="C46" s="524"/>
      <c r="D46" s="525"/>
      <c r="E46" s="207"/>
      <c r="F46" s="213">
        <f>'зп обслуживание УУ'!E2</f>
        <v>83672.317814035923</v>
      </c>
      <c r="G46" s="37"/>
      <c r="H46" s="37">
        <f>'зп обслуживание УУ'!E3</f>
        <v>117912.86040260555</v>
      </c>
      <c r="I46" s="37"/>
      <c r="J46" s="37">
        <f>'зп обслуживание УУ'!E7</f>
        <v>91064.246380172452</v>
      </c>
      <c r="K46" s="37"/>
      <c r="L46" s="37">
        <f>'зп обслуживание УУ'!E6</f>
        <v>122351.21014028601</v>
      </c>
      <c r="M46" s="37"/>
      <c r="N46" s="37">
        <f>'зп обслуживание УУ'!E4</f>
        <v>69763.941999606526</v>
      </c>
      <c r="O46" s="37"/>
      <c r="P46" s="37">
        <f>'зп обслуживание УУ'!E5</f>
        <v>99894.972444353378</v>
      </c>
      <c r="Q46" s="132"/>
      <c r="R46" s="38">
        <f>'зп обслуживание УУ'!E8</f>
        <v>564074.24485894013</v>
      </c>
      <c r="S46" s="39"/>
    </row>
    <row r="47" spans="1:19" x14ac:dyDescent="0.25">
      <c r="A47" s="523" t="s">
        <v>198</v>
      </c>
      <c r="B47" s="524"/>
      <c r="C47" s="524"/>
      <c r="D47" s="525"/>
      <c r="E47" s="207"/>
      <c r="F47" s="213"/>
      <c r="G47" s="37"/>
      <c r="H47" s="37"/>
      <c r="I47" s="37"/>
      <c r="J47" s="37">
        <f>2084.5</f>
        <v>2084.5</v>
      </c>
      <c r="K47" s="37"/>
      <c r="L47" s="37"/>
      <c r="M47" s="37"/>
      <c r="N47" s="37">
        <f>2084.5</f>
        <v>2084.5</v>
      </c>
      <c r="O47" s="37"/>
      <c r="P47" s="37">
        <f>2188.5</f>
        <v>2188.5</v>
      </c>
      <c r="Q47" s="132"/>
      <c r="R47" s="38">
        <f>2188.5</f>
        <v>2188.5</v>
      </c>
      <c r="S47" s="39">
        <f t="shared" si="1"/>
        <v>8546</v>
      </c>
    </row>
    <row r="48" spans="1:19" x14ac:dyDescent="0.25">
      <c r="A48" s="523" t="s">
        <v>202</v>
      </c>
      <c r="B48" s="524"/>
      <c r="C48" s="524"/>
      <c r="D48" s="525"/>
      <c r="E48" s="207"/>
      <c r="F48" s="213"/>
      <c r="G48" s="37"/>
      <c r="H48" s="37"/>
      <c r="I48" s="37"/>
      <c r="J48" s="37">
        <f>4300</f>
        <v>4300</v>
      </c>
      <c r="K48" s="37"/>
      <c r="L48" s="37"/>
      <c r="M48" s="37"/>
      <c r="N48" s="37">
        <f>4300</f>
        <v>4300</v>
      </c>
      <c r="O48" s="37"/>
      <c r="P48" s="37"/>
      <c r="Q48" s="132"/>
      <c r="R48" s="38"/>
      <c r="S48" s="39">
        <f t="shared" si="1"/>
        <v>8600</v>
      </c>
    </row>
    <row r="49" spans="1:19" x14ac:dyDescent="0.25">
      <c r="A49" s="496" t="s">
        <v>138</v>
      </c>
      <c r="B49" s="497"/>
      <c r="C49" s="497"/>
      <c r="D49" s="497"/>
      <c r="E49" s="208">
        <f>'[3]16'!$H$31</f>
        <v>70439.712997987925</v>
      </c>
      <c r="F49" s="208">
        <f>SUM(F50:F51)</f>
        <v>14327</v>
      </c>
      <c r="G49" s="119">
        <f>'[3]18'!$J$35</f>
        <v>96625.942532696165</v>
      </c>
      <c r="H49" s="119">
        <f t="shared" ref="H49:R49" si="10">SUM(H50:H51)</f>
        <v>20945</v>
      </c>
      <c r="I49" s="119"/>
      <c r="J49" s="119">
        <f t="shared" si="10"/>
        <v>22397</v>
      </c>
      <c r="K49" s="119"/>
      <c r="L49" s="119">
        <f t="shared" si="10"/>
        <v>14041</v>
      </c>
      <c r="M49" s="119"/>
      <c r="N49" s="119">
        <f t="shared" si="10"/>
        <v>24605</v>
      </c>
      <c r="O49" s="119"/>
      <c r="P49" s="119">
        <f t="shared" si="10"/>
        <v>24985</v>
      </c>
      <c r="Q49" s="119"/>
      <c r="R49" s="262">
        <f t="shared" si="10"/>
        <v>64654</v>
      </c>
      <c r="S49" s="39">
        <f t="shared" si="1"/>
        <v>282579.94253269618</v>
      </c>
    </row>
    <row r="50" spans="1:19" x14ac:dyDescent="0.25">
      <c r="A50" s="523">
        <v>26</v>
      </c>
      <c r="B50" s="524"/>
      <c r="C50" s="524"/>
      <c r="D50" s="525"/>
      <c r="E50" s="207"/>
      <c r="F50" s="213">
        <f>1993</f>
        <v>1993</v>
      </c>
      <c r="G50" s="37"/>
      <c r="H50" s="37">
        <f>2914</f>
        <v>2914</v>
      </c>
      <c r="I50" s="37"/>
      <c r="J50" s="37">
        <f>1595+1551</f>
        <v>3146</v>
      </c>
      <c r="K50" s="37"/>
      <c r="L50" s="37">
        <v>1953</v>
      </c>
      <c r="M50" s="37"/>
      <c r="N50" s="37">
        <f>3423</f>
        <v>3423</v>
      </c>
      <c r="O50" s="37"/>
      <c r="P50" s="37">
        <v>3476</v>
      </c>
      <c r="Q50" s="132"/>
      <c r="R50" s="38">
        <f>8995</f>
        <v>8995</v>
      </c>
      <c r="S50" s="39"/>
    </row>
    <row r="51" spans="1:19" x14ac:dyDescent="0.25">
      <c r="A51" s="523" t="s">
        <v>293</v>
      </c>
      <c r="B51" s="524"/>
      <c r="C51" s="524"/>
      <c r="D51" s="525"/>
      <c r="E51" s="207"/>
      <c r="F51" s="213">
        <v>12334</v>
      </c>
      <c r="G51" s="37"/>
      <c r="H51" s="37">
        <v>18031</v>
      </c>
      <c r="I51" s="37"/>
      <c r="J51" s="37">
        <f>19251</f>
        <v>19251</v>
      </c>
      <c r="K51" s="37"/>
      <c r="L51" s="37">
        <v>12088</v>
      </c>
      <c r="M51" s="37"/>
      <c r="N51" s="37">
        <v>21182</v>
      </c>
      <c r="O51" s="37"/>
      <c r="P51" s="37">
        <v>21509</v>
      </c>
      <c r="Q51" s="132"/>
      <c r="R51" s="38">
        <f>55659</f>
        <v>55659</v>
      </c>
      <c r="S51" s="39"/>
    </row>
    <row r="52" spans="1:19" x14ac:dyDescent="0.25">
      <c r="A52" s="496" t="s">
        <v>139</v>
      </c>
      <c r="B52" s="497"/>
      <c r="C52" s="497"/>
      <c r="D52" s="497"/>
      <c r="E52" s="208">
        <f>'[3]16'!$H$32</f>
        <v>1193.8934406438632</v>
      </c>
      <c r="F52" s="208">
        <f>SUM(F53:F54)</f>
        <v>243</v>
      </c>
      <c r="G52" s="119">
        <f>'[3]18'!$J$36</f>
        <v>1637.7278395372234</v>
      </c>
      <c r="H52" s="119">
        <f t="shared" ref="H52:R52" si="11">SUM(H53:H54)</f>
        <v>355</v>
      </c>
      <c r="I52" s="119"/>
      <c r="J52" s="119">
        <f t="shared" si="11"/>
        <v>294</v>
      </c>
      <c r="K52" s="119"/>
      <c r="L52" s="119">
        <f t="shared" si="11"/>
        <v>5435</v>
      </c>
      <c r="M52" s="119"/>
      <c r="N52" s="119">
        <f t="shared" si="11"/>
        <v>35667</v>
      </c>
      <c r="O52" s="119"/>
      <c r="P52" s="119">
        <f t="shared" si="11"/>
        <v>329</v>
      </c>
      <c r="Q52" s="119"/>
      <c r="R52" s="262">
        <f t="shared" si="11"/>
        <v>25027</v>
      </c>
      <c r="S52" s="39">
        <f t="shared" si="1"/>
        <v>68987.727839537227</v>
      </c>
    </row>
    <row r="53" spans="1:19" s="142" customFormat="1" x14ac:dyDescent="0.25">
      <c r="A53" s="523">
        <v>26</v>
      </c>
      <c r="B53" s="524"/>
      <c r="C53" s="524"/>
      <c r="D53" s="525"/>
      <c r="E53" s="207"/>
      <c r="F53" s="206">
        <v>34</v>
      </c>
      <c r="G53" s="44"/>
      <c r="H53" s="44">
        <f>49</f>
        <v>49</v>
      </c>
      <c r="I53" s="44"/>
      <c r="J53" s="44">
        <f>21+20</f>
        <v>41</v>
      </c>
      <c r="K53" s="44"/>
      <c r="L53" s="44">
        <v>756</v>
      </c>
      <c r="M53" s="44"/>
      <c r="N53" s="44">
        <f>4962</f>
        <v>4962</v>
      </c>
      <c r="O53" s="44"/>
      <c r="P53" s="44">
        <v>46</v>
      </c>
      <c r="Q53" s="44"/>
      <c r="R53" s="46">
        <f>3482</f>
        <v>3482</v>
      </c>
      <c r="S53" s="249"/>
    </row>
    <row r="54" spans="1:19" x14ac:dyDescent="0.25">
      <c r="A54" s="491" t="s">
        <v>293</v>
      </c>
      <c r="B54" s="492"/>
      <c r="C54" s="492"/>
      <c r="D54" s="493"/>
      <c r="E54" s="198"/>
      <c r="F54" s="213">
        <v>209</v>
      </c>
      <c r="G54" s="37"/>
      <c r="H54" s="37">
        <v>306</v>
      </c>
      <c r="I54" s="37"/>
      <c r="J54" s="37">
        <f>253</f>
        <v>253</v>
      </c>
      <c r="K54" s="37"/>
      <c r="L54" s="37">
        <v>4679</v>
      </c>
      <c r="M54" s="37"/>
      <c r="N54" s="37">
        <v>30705</v>
      </c>
      <c r="O54" s="37"/>
      <c r="P54" s="37">
        <v>283</v>
      </c>
      <c r="Q54" s="37"/>
      <c r="R54" s="38">
        <f>21545</f>
        <v>21545</v>
      </c>
      <c r="S54" s="39"/>
    </row>
    <row r="55" spans="1:19" x14ac:dyDescent="0.25">
      <c r="A55" s="496" t="s">
        <v>140</v>
      </c>
      <c r="B55" s="497"/>
      <c r="C55" s="497"/>
      <c r="D55" s="497"/>
      <c r="E55" s="208">
        <f>'[3]16'!$H$33</f>
        <v>45367.950744466812</v>
      </c>
      <c r="F55" s="208">
        <f>SUM(F56:F57)</f>
        <v>9228</v>
      </c>
      <c r="G55" s="119">
        <f>'[3]18'!$J$37</f>
        <v>62233.657902414481</v>
      </c>
      <c r="H55" s="119">
        <f t="shared" ref="H55:R55" si="12">SUM(H56:H57)</f>
        <v>13490</v>
      </c>
      <c r="I55" s="119"/>
      <c r="J55" s="119">
        <f t="shared" si="12"/>
        <v>2063</v>
      </c>
      <c r="K55" s="119"/>
      <c r="L55" s="119">
        <f t="shared" si="12"/>
        <v>11776</v>
      </c>
      <c r="M55" s="119"/>
      <c r="N55" s="119">
        <f t="shared" si="12"/>
        <v>14673</v>
      </c>
      <c r="O55" s="119"/>
      <c r="P55" s="119">
        <f t="shared" si="12"/>
        <v>2301</v>
      </c>
      <c r="Q55" s="119"/>
      <c r="R55" s="262">
        <f t="shared" si="12"/>
        <v>54226</v>
      </c>
      <c r="S55" s="39">
        <f t="shared" si="1"/>
        <v>169990.65790241447</v>
      </c>
    </row>
    <row r="56" spans="1:19" s="142" customFormat="1" x14ac:dyDescent="0.25">
      <c r="A56" s="523">
        <v>26</v>
      </c>
      <c r="B56" s="524"/>
      <c r="C56" s="524"/>
      <c r="D56" s="525"/>
      <c r="E56" s="207"/>
      <c r="F56" s="206">
        <v>1284</v>
      </c>
      <c r="G56" s="44"/>
      <c r="H56" s="44">
        <f>1877</f>
        <v>1877</v>
      </c>
      <c r="I56" s="44"/>
      <c r="J56" s="44">
        <f>147+143</f>
        <v>290</v>
      </c>
      <c r="K56" s="44"/>
      <c r="L56" s="44">
        <v>1638</v>
      </c>
      <c r="M56" s="44"/>
      <c r="N56" s="44">
        <f>2041</f>
        <v>2041</v>
      </c>
      <c r="O56" s="44"/>
      <c r="P56" s="44">
        <v>320</v>
      </c>
      <c r="Q56" s="44"/>
      <c r="R56" s="46">
        <f>7544</f>
        <v>7544</v>
      </c>
      <c r="S56" s="249"/>
    </row>
    <row r="57" spans="1:19" x14ac:dyDescent="0.25">
      <c r="A57" s="491" t="s">
        <v>293</v>
      </c>
      <c r="B57" s="492"/>
      <c r="C57" s="492"/>
      <c r="D57" s="493"/>
      <c r="E57" s="198"/>
      <c r="F57" s="213">
        <v>7944</v>
      </c>
      <c r="G57" s="37"/>
      <c r="H57" s="37">
        <v>11613</v>
      </c>
      <c r="I57" s="37"/>
      <c r="J57" s="37">
        <f>1773</f>
        <v>1773</v>
      </c>
      <c r="K57" s="37"/>
      <c r="L57" s="37">
        <v>10138</v>
      </c>
      <c r="M57" s="37"/>
      <c r="N57" s="37">
        <v>12632</v>
      </c>
      <c r="O57" s="37"/>
      <c r="P57" s="37">
        <v>1981</v>
      </c>
      <c r="Q57" s="37"/>
      <c r="R57" s="38">
        <f>46682</f>
        <v>46682</v>
      </c>
      <c r="S57" s="39"/>
    </row>
    <row r="58" spans="1:19" s="16" customFormat="1" ht="24.75" customHeight="1" x14ac:dyDescent="0.25">
      <c r="A58" s="547" t="s">
        <v>141</v>
      </c>
      <c r="B58" s="548"/>
      <c r="C58" s="548"/>
      <c r="D58" s="548"/>
      <c r="E58" s="196">
        <f>'[3]16'!$H$34</f>
        <v>740213.93319919531</v>
      </c>
      <c r="F58" s="196">
        <f>SUM(F59:F64)</f>
        <v>570868.42999999993</v>
      </c>
      <c r="G58" s="111">
        <f>'[3]18'!$J$38</f>
        <v>1015391.2605130785</v>
      </c>
      <c r="H58" s="111">
        <f t="shared" ref="H58:R58" si="13">SUM(H59:H64)</f>
        <v>836292.54999999993</v>
      </c>
      <c r="I58" s="111"/>
      <c r="J58" s="111">
        <f t="shared" si="13"/>
        <v>730668.78999999992</v>
      </c>
      <c r="K58" s="111"/>
      <c r="L58" s="111">
        <f t="shared" si="13"/>
        <v>994848.83</v>
      </c>
      <c r="M58" s="111"/>
      <c r="N58" s="111">
        <f t="shared" si="13"/>
        <v>0</v>
      </c>
      <c r="O58" s="111"/>
      <c r="P58" s="111">
        <f t="shared" si="13"/>
        <v>684281.80999999994</v>
      </c>
      <c r="Q58" s="111"/>
      <c r="R58" s="265">
        <f t="shared" si="13"/>
        <v>5664867.9900000002</v>
      </c>
      <c r="S58" s="39">
        <f t="shared" si="1"/>
        <v>10497219.660513079</v>
      </c>
    </row>
    <row r="59" spans="1:19" s="141" customFormat="1" ht="24.75" customHeight="1" x14ac:dyDescent="0.25">
      <c r="A59" s="550">
        <v>26</v>
      </c>
      <c r="B59" s="551"/>
      <c r="C59" s="551"/>
      <c r="D59" s="552"/>
      <c r="E59" s="197"/>
      <c r="F59" s="230">
        <v>20946</v>
      </c>
      <c r="G59" s="148"/>
      <c r="H59" s="148">
        <f>30620</f>
        <v>30620</v>
      </c>
      <c r="I59" s="148"/>
      <c r="J59" s="148">
        <f>13015+12649</f>
        <v>25664</v>
      </c>
      <c r="K59" s="148"/>
      <c r="L59" s="148">
        <v>39068</v>
      </c>
      <c r="M59" s="148"/>
      <c r="N59" s="148"/>
      <c r="O59" s="148"/>
      <c r="P59" s="148">
        <v>28356</v>
      </c>
      <c r="Q59" s="148"/>
      <c r="R59" s="266">
        <f>179893</f>
        <v>179893</v>
      </c>
      <c r="S59" s="249"/>
    </row>
    <row r="60" spans="1:19" s="141" customFormat="1" ht="24.75" customHeight="1" x14ac:dyDescent="0.25">
      <c r="A60" s="550" t="s">
        <v>293</v>
      </c>
      <c r="B60" s="551"/>
      <c r="C60" s="551"/>
      <c r="D60" s="552"/>
      <c r="E60" s="197"/>
      <c r="F60" s="230">
        <f>129614+50000</f>
        <v>179614</v>
      </c>
      <c r="G60" s="148"/>
      <c r="H60" s="148">
        <v>189475</v>
      </c>
      <c r="I60" s="148"/>
      <c r="J60" s="148">
        <f>157051</f>
        <v>157051</v>
      </c>
      <c r="K60" s="148"/>
      <c r="L60" s="148">
        <f>241755-50000</f>
        <v>191755</v>
      </c>
      <c r="M60" s="148"/>
      <c r="N60" s="148"/>
      <c r="O60" s="148"/>
      <c r="P60" s="148">
        <v>175467</v>
      </c>
      <c r="Q60" s="148"/>
      <c r="R60" s="266">
        <v>1113182</v>
      </c>
      <c r="S60" s="249"/>
    </row>
    <row r="61" spans="1:19" x14ac:dyDescent="0.25">
      <c r="A61" s="494" t="s">
        <v>178</v>
      </c>
      <c r="B61" s="495"/>
      <c r="C61" s="495"/>
      <c r="D61" s="495"/>
      <c r="E61" s="213"/>
      <c r="F61" s="176">
        <f>367948.86-F63</f>
        <v>349200</v>
      </c>
      <c r="G61" s="4"/>
      <c r="H61" s="37">
        <f>613248.1-31248.1</f>
        <v>582000</v>
      </c>
      <c r="I61" s="37"/>
      <c r="J61" s="37">
        <f>544414.44-J63</f>
        <v>525665.57999999996</v>
      </c>
      <c r="K61" s="37"/>
      <c r="L61" s="37">
        <f>760486.48-L63</f>
        <v>710489.52</v>
      </c>
      <c r="M61" s="37"/>
      <c r="N61" s="37"/>
      <c r="O61" s="37"/>
      <c r="P61" s="37">
        <f>478099.24-12499.24</f>
        <v>465600</v>
      </c>
      <c r="Q61" s="37"/>
      <c r="R61" s="46">
        <f>4182183.32</f>
        <v>4182183.32</v>
      </c>
      <c r="S61" s="39">
        <f t="shared" si="1"/>
        <v>6815138.4199999999</v>
      </c>
    </row>
    <row r="62" spans="1:19" x14ac:dyDescent="0.25">
      <c r="A62" s="494" t="s">
        <v>196</v>
      </c>
      <c r="B62" s="495"/>
      <c r="C62" s="495"/>
      <c r="D62" s="495"/>
      <c r="E62" s="213"/>
      <c r="F62" s="176">
        <f>2359.57</f>
        <v>2359.5700000000002</v>
      </c>
      <c r="G62" s="4"/>
      <c r="H62" s="37">
        <f>2949.45</f>
        <v>2949.45</v>
      </c>
      <c r="I62" s="37"/>
      <c r="J62" s="37">
        <f>3539.35</f>
        <v>3539.35</v>
      </c>
      <c r="K62" s="37"/>
      <c r="L62" s="37">
        <f>3539.35</f>
        <v>3539.35</v>
      </c>
      <c r="M62" s="37"/>
      <c r="N62" s="37"/>
      <c r="O62" s="37"/>
      <c r="P62" s="37">
        <f>2359.57</f>
        <v>2359.5700000000002</v>
      </c>
      <c r="Q62" s="37"/>
      <c r="R62" s="46">
        <f>10618.03</f>
        <v>10618.03</v>
      </c>
      <c r="S62" s="39">
        <f t="shared" si="1"/>
        <v>25365.32</v>
      </c>
    </row>
    <row r="63" spans="1:19" ht="18" customHeight="1" x14ac:dyDescent="0.25">
      <c r="A63" s="494" t="s">
        <v>197</v>
      </c>
      <c r="B63" s="495"/>
      <c r="C63" s="495"/>
      <c r="D63" s="495"/>
      <c r="E63" s="213"/>
      <c r="F63" s="176">
        <f>18748.86</f>
        <v>18748.86</v>
      </c>
      <c r="G63" s="4"/>
      <c r="H63" s="37">
        <f>31248.1</f>
        <v>31248.1</v>
      </c>
      <c r="I63" s="37"/>
      <c r="J63" s="37">
        <f>18748.86</f>
        <v>18748.86</v>
      </c>
      <c r="K63" s="37"/>
      <c r="L63" s="37">
        <f>49996.96</f>
        <v>49996.959999999999</v>
      </c>
      <c r="M63" s="37"/>
      <c r="N63" s="37"/>
      <c r="O63" s="37"/>
      <c r="P63" s="37">
        <f>12499.24</f>
        <v>12499.24</v>
      </c>
      <c r="Q63" s="37"/>
      <c r="R63" s="46">
        <f>137491.64</f>
        <v>137491.64000000001</v>
      </c>
      <c r="S63" s="39">
        <f t="shared" si="1"/>
        <v>268733.66000000003</v>
      </c>
    </row>
    <row r="64" spans="1:19" ht="18" customHeight="1" x14ac:dyDescent="0.25">
      <c r="A64" s="491" t="s">
        <v>255</v>
      </c>
      <c r="B64" s="492"/>
      <c r="C64" s="492"/>
      <c r="D64" s="493"/>
      <c r="E64" s="198"/>
      <c r="F64" s="176"/>
      <c r="G64" s="4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46">
        <v>41500</v>
      </c>
      <c r="S64" s="39">
        <f t="shared" si="1"/>
        <v>41500</v>
      </c>
    </row>
    <row r="65" spans="1:22" s="16" customFormat="1" ht="27" customHeight="1" x14ac:dyDescent="0.25">
      <c r="A65" s="547" t="s">
        <v>142</v>
      </c>
      <c r="B65" s="548"/>
      <c r="C65" s="548"/>
      <c r="D65" s="548"/>
      <c r="E65" s="196">
        <f>'[3]16'!$H$35-37121.32</f>
        <v>863074.33424547291</v>
      </c>
      <c r="F65" s="219">
        <f>SUM(F66:F69)</f>
        <v>572519.55131988204</v>
      </c>
      <c r="G65" s="113">
        <f>'[3]18'!$J$39</f>
        <v>1234846.7910110664</v>
      </c>
      <c r="H65" s="113">
        <f t="shared" ref="H65:R65" si="14">SUM(H66:H69)</f>
        <v>784873.40797572955</v>
      </c>
      <c r="I65" s="113"/>
      <c r="J65" s="113">
        <f t="shared" si="14"/>
        <v>547747.30859878403</v>
      </c>
      <c r="K65" s="113"/>
      <c r="L65" s="113">
        <f t="shared" si="14"/>
        <v>623187.56675882603</v>
      </c>
      <c r="M65" s="113"/>
      <c r="N65" s="113">
        <f t="shared" si="14"/>
        <v>442764.66988254717</v>
      </c>
      <c r="O65" s="113"/>
      <c r="P65" s="113">
        <f t="shared" si="14"/>
        <v>610991.12257809984</v>
      </c>
      <c r="Q65" s="113"/>
      <c r="R65" s="260">
        <f t="shared" si="14"/>
        <v>3565811.3728861315</v>
      </c>
      <c r="S65" s="39">
        <f t="shared" si="1"/>
        <v>8382741.7910110662</v>
      </c>
    </row>
    <row r="66" spans="1:22" s="141" customFormat="1" ht="27" customHeight="1" x14ac:dyDescent="0.25">
      <c r="A66" s="550" t="s">
        <v>297</v>
      </c>
      <c r="B66" s="551"/>
      <c r="C66" s="551"/>
      <c r="D66" s="552"/>
      <c r="E66" s="197"/>
      <c r="F66" s="220">
        <f>25473+157627</f>
        <v>183100</v>
      </c>
      <c r="G66" s="144"/>
      <c r="H66" s="144">
        <f>37237+230426</f>
        <v>267663</v>
      </c>
      <c r="I66" s="144"/>
      <c r="J66" s="144">
        <f>14673+14261</f>
        <v>28934</v>
      </c>
      <c r="K66" s="144"/>
      <c r="L66" s="144">
        <v>41400</v>
      </c>
      <c r="M66" s="144"/>
      <c r="N66" s="144">
        <f>23742+146915</f>
        <v>170657</v>
      </c>
      <c r="O66" s="144"/>
      <c r="P66" s="144">
        <f>31969</f>
        <v>31969</v>
      </c>
      <c r="Q66" s="144"/>
      <c r="R66" s="261">
        <f>190628</f>
        <v>190628</v>
      </c>
      <c r="S66" s="249"/>
    </row>
    <row r="67" spans="1:22" ht="32.25" customHeight="1" x14ac:dyDescent="0.25">
      <c r="A67" s="494" t="s">
        <v>177</v>
      </c>
      <c r="B67" s="495"/>
      <c r="C67" s="495"/>
      <c r="D67" s="495"/>
      <c r="E67" s="213"/>
      <c r="F67" s="213">
        <f>содержание!Q3</f>
        <v>5366.5513198820954</v>
      </c>
      <c r="G67" s="37"/>
      <c r="H67" s="37">
        <f>содержание!Q4</f>
        <v>6486.4079757295221</v>
      </c>
      <c r="I67" s="37"/>
      <c r="J67" s="37">
        <f>содержание!Q8</f>
        <v>4968.3085987839813</v>
      </c>
      <c r="K67" s="37"/>
      <c r="L67" s="37">
        <f>9963+содержание!Q7</f>
        <v>23199.566758826008</v>
      </c>
      <c r="M67" s="37"/>
      <c r="N67" s="37">
        <f>1990+2610+содержание!Q5</f>
        <v>14131.669882547176</v>
      </c>
      <c r="O67" s="37"/>
      <c r="P67" s="37">
        <f>3645+содержание!Q6</f>
        <v>11662.122578099821</v>
      </c>
      <c r="Q67" s="37"/>
      <c r="R67" s="46">
        <f>46098+содержание!Q9</f>
        <v>109886.3728861314</v>
      </c>
      <c r="S67" s="39">
        <f t="shared" si="1"/>
        <v>175701</v>
      </c>
      <c r="T67" s="65">
        <f>содержание!Q11</f>
        <v>111395</v>
      </c>
      <c r="U67" s="65"/>
      <c r="V67" s="9">
        <f>T67+S67</f>
        <v>287096</v>
      </c>
    </row>
    <row r="68" spans="1:22" ht="32.25" customHeight="1" x14ac:dyDescent="0.25">
      <c r="A68" s="491" t="s">
        <v>309</v>
      </c>
      <c r="B68" s="492"/>
      <c r="C68" s="492"/>
      <c r="D68" s="493"/>
      <c r="E68" s="209"/>
      <c r="F68" s="227">
        <f>305265+75000</f>
        <v>380265</v>
      </c>
      <c r="G68" s="114"/>
      <c r="H68" s="114">
        <f>430186+75000</f>
        <v>505186</v>
      </c>
      <c r="I68" s="114"/>
      <c r="J68" s="114">
        <f>177062+332233</f>
        <v>509295</v>
      </c>
      <c r="K68" s="114"/>
      <c r="L68" s="114">
        <f>256182+446379-150000</f>
        <v>552561</v>
      </c>
      <c r="M68" s="114"/>
      <c r="N68" s="114">
        <f>254522</f>
        <v>254522</v>
      </c>
      <c r="O68" s="114"/>
      <c r="P68" s="114">
        <f>197825+364451</f>
        <v>562276</v>
      </c>
      <c r="Q68" s="145"/>
      <c r="R68" s="267">
        <f>1179614+2057933</f>
        <v>3237547</v>
      </c>
      <c r="S68" s="39"/>
      <c r="T68" s="65"/>
      <c r="U68" s="65"/>
      <c r="V68" s="9"/>
    </row>
    <row r="69" spans="1:22" ht="35.25" customHeight="1" thickBot="1" x14ac:dyDescent="0.3">
      <c r="A69" s="569" t="s">
        <v>186</v>
      </c>
      <c r="B69" s="570"/>
      <c r="C69" s="570"/>
      <c r="D69" s="571"/>
      <c r="E69" s="209"/>
      <c r="F69" s="227">
        <f>3788</f>
        <v>3788</v>
      </c>
      <c r="G69" s="114"/>
      <c r="H69" s="114">
        <v>5538</v>
      </c>
      <c r="I69" s="114"/>
      <c r="J69" s="114">
        <f>4550</f>
        <v>4550</v>
      </c>
      <c r="K69" s="114"/>
      <c r="L69" s="114">
        <f>6027</f>
        <v>6027</v>
      </c>
      <c r="M69" s="114"/>
      <c r="N69" s="114">
        <f>3454</f>
        <v>3454</v>
      </c>
      <c r="O69" s="114"/>
      <c r="P69" s="114">
        <f>5084</f>
        <v>5084</v>
      </c>
      <c r="Q69" s="145"/>
      <c r="R69" s="25">
        <f>27750</f>
        <v>27750</v>
      </c>
      <c r="S69" s="39">
        <f t="shared" si="1"/>
        <v>56191</v>
      </c>
    </row>
    <row r="70" spans="1:22" ht="21.75" customHeight="1" thickBot="1" x14ac:dyDescent="0.3">
      <c r="A70" s="578" t="s">
        <v>143</v>
      </c>
      <c r="B70" s="579"/>
      <c r="C70" s="579"/>
      <c r="D70" s="579"/>
      <c r="E70" s="201">
        <f>'[3]16'!$H$36</f>
        <v>347422.99122736423</v>
      </c>
      <c r="F70" s="201">
        <f>SUM(F71:F74)</f>
        <v>290254.78000000003</v>
      </c>
      <c r="G70" s="121">
        <f>'[3]18'!$J$40</f>
        <v>476578.80130533199</v>
      </c>
      <c r="H70" s="121">
        <f t="shared" ref="H70:R70" si="15">SUM(H71:H74)</f>
        <v>409531.83</v>
      </c>
      <c r="I70" s="121"/>
      <c r="J70" s="121">
        <f t="shared" si="15"/>
        <v>340345.14</v>
      </c>
      <c r="K70" s="121"/>
      <c r="L70" s="121">
        <f t="shared" si="15"/>
        <v>409659</v>
      </c>
      <c r="M70" s="121"/>
      <c r="N70" s="121">
        <f t="shared" si="15"/>
        <v>286942.26</v>
      </c>
      <c r="O70" s="121"/>
      <c r="P70" s="121">
        <f t="shared" si="15"/>
        <v>371894.13</v>
      </c>
      <c r="Q70" s="121"/>
      <c r="R70" s="268">
        <f t="shared" si="15"/>
        <v>1893813.06</v>
      </c>
      <c r="S70" s="39">
        <f t="shared" si="1"/>
        <v>4479019.0013053324</v>
      </c>
    </row>
    <row r="71" spans="1:22" s="142" customFormat="1" ht="21.75" customHeight="1" thickBot="1" x14ac:dyDescent="0.3">
      <c r="A71" s="529" t="s">
        <v>297</v>
      </c>
      <c r="B71" s="530"/>
      <c r="C71" s="530"/>
      <c r="D71" s="531"/>
      <c r="E71" s="202"/>
      <c r="F71" s="231">
        <f>9831</f>
        <v>9831</v>
      </c>
      <c r="G71" s="149"/>
      <c r="H71" s="149">
        <f>14371</f>
        <v>14371</v>
      </c>
      <c r="I71" s="149"/>
      <c r="J71" s="149">
        <f>5668+5508</f>
        <v>11176</v>
      </c>
      <c r="K71" s="149"/>
      <c r="L71" s="149">
        <v>13926</v>
      </c>
      <c r="M71" s="149"/>
      <c r="N71" s="149">
        <f>13033</f>
        <v>13033</v>
      </c>
      <c r="O71" s="149"/>
      <c r="P71" s="149">
        <v>12348</v>
      </c>
      <c r="Q71" s="150"/>
      <c r="R71" s="269">
        <f>64123</f>
        <v>64123</v>
      </c>
      <c r="S71" s="249"/>
    </row>
    <row r="72" spans="1:22" s="142" customFormat="1" ht="21.75" customHeight="1" x14ac:dyDescent="0.25">
      <c r="A72" s="553" t="s">
        <v>311</v>
      </c>
      <c r="B72" s="554"/>
      <c r="C72" s="554"/>
      <c r="D72" s="555"/>
      <c r="E72" s="202"/>
      <c r="F72" s="231">
        <f>60835+211080</f>
        <v>271915</v>
      </c>
      <c r="G72" s="149"/>
      <c r="H72" s="149">
        <f>88931+297459</f>
        <v>386390</v>
      </c>
      <c r="I72" s="149"/>
      <c r="J72" s="149">
        <f>68393+229728</f>
        <v>298121</v>
      </c>
      <c r="K72" s="149"/>
      <c r="L72" s="149">
        <f>86174+308655</f>
        <v>394829</v>
      </c>
      <c r="M72" s="149"/>
      <c r="N72" s="149">
        <f>80648+175994</f>
        <v>256642</v>
      </c>
      <c r="O72" s="149"/>
      <c r="P72" s="149">
        <f>76413+252005</f>
        <v>328418</v>
      </c>
      <c r="Q72" s="150"/>
      <c r="R72" s="269">
        <f>396796+1422990</f>
        <v>1819786</v>
      </c>
      <c r="S72" s="249"/>
    </row>
    <row r="73" spans="1:22" ht="21.75" customHeight="1" x14ac:dyDescent="0.25">
      <c r="A73" s="532" t="s">
        <v>187</v>
      </c>
      <c r="B73" s="533"/>
      <c r="C73" s="533"/>
      <c r="D73" s="534"/>
      <c r="E73" s="194"/>
      <c r="F73" s="229">
        <f>7940.78</f>
        <v>7940.78</v>
      </c>
      <c r="G73" s="116"/>
      <c r="H73" s="116">
        <f>7940.83</f>
        <v>7940.83</v>
      </c>
      <c r="I73" s="116"/>
      <c r="J73" s="116">
        <f>30366.14</f>
        <v>30366.14</v>
      </c>
      <c r="K73" s="116"/>
      <c r="L73" s="116"/>
      <c r="M73" s="116"/>
      <c r="N73" s="116">
        <f>16749.26</f>
        <v>16749.259999999998</v>
      </c>
      <c r="O73" s="116"/>
      <c r="P73" s="116">
        <f>30366.13</f>
        <v>30366.13</v>
      </c>
      <c r="Q73" s="247"/>
      <c r="R73" s="120">
        <f>5743.06</f>
        <v>5743.06</v>
      </c>
      <c r="S73" s="39">
        <f t="shared" si="1"/>
        <v>99106.2</v>
      </c>
    </row>
    <row r="74" spans="1:22" ht="21.75" customHeight="1" thickBot="1" x14ac:dyDescent="0.3">
      <c r="A74" s="569" t="s">
        <v>249</v>
      </c>
      <c r="B74" s="570"/>
      <c r="C74" s="570"/>
      <c r="D74" s="571"/>
      <c r="E74" s="209"/>
      <c r="F74" s="227">
        <v>568</v>
      </c>
      <c r="G74" s="114"/>
      <c r="H74" s="114">
        <v>830</v>
      </c>
      <c r="I74" s="114"/>
      <c r="J74" s="114">
        <f>682</f>
        <v>682</v>
      </c>
      <c r="K74" s="114"/>
      <c r="L74" s="114">
        <f>904</f>
        <v>904</v>
      </c>
      <c r="M74" s="114"/>
      <c r="N74" s="114">
        <f>518</f>
        <v>518</v>
      </c>
      <c r="O74" s="114"/>
      <c r="P74" s="114">
        <f>762</f>
        <v>762</v>
      </c>
      <c r="Q74" s="145"/>
      <c r="R74" s="267">
        <f>4161</f>
        <v>4161</v>
      </c>
      <c r="S74" s="39">
        <f t="shared" si="1"/>
        <v>8425</v>
      </c>
    </row>
    <row r="75" spans="1:22" ht="27" customHeight="1" thickBot="1" x14ac:dyDescent="0.3">
      <c r="A75" s="578" t="s">
        <v>144</v>
      </c>
      <c r="B75" s="579"/>
      <c r="C75" s="579"/>
      <c r="D75" s="579"/>
      <c r="E75" s="201">
        <f>'[3]16'!$H$37</f>
        <v>171920.65545271631</v>
      </c>
      <c r="F75" s="201">
        <f>SUM(F76:F79)</f>
        <v>301469</v>
      </c>
      <c r="G75" s="121">
        <f>'[3]18'!$J$41</f>
        <v>235832.80889336017</v>
      </c>
      <c r="H75" s="121">
        <f t="shared" ref="H75:R75" si="16">SUM(H76:H79)</f>
        <v>493619</v>
      </c>
      <c r="I75" s="121"/>
      <c r="J75" s="121">
        <f t="shared" si="16"/>
        <v>190374</v>
      </c>
      <c r="K75" s="121"/>
      <c r="L75" s="121">
        <f t="shared" si="16"/>
        <v>558558</v>
      </c>
      <c r="M75" s="121"/>
      <c r="N75" s="121">
        <f t="shared" si="16"/>
        <v>500500</v>
      </c>
      <c r="O75" s="121"/>
      <c r="P75" s="121">
        <f t="shared" si="16"/>
        <v>463038</v>
      </c>
      <c r="Q75" s="121"/>
      <c r="R75" s="268">
        <f t="shared" si="16"/>
        <v>1392039.85</v>
      </c>
      <c r="S75" s="39">
        <f t="shared" si="1"/>
        <v>4135430.6588933603</v>
      </c>
    </row>
    <row r="76" spans="1:22" s="142" customFormat="1" ht="27" customHeight="1" thickBot="1" x14ac:dyDescent="0.3">
      <c r="A76" s="529" t="s">
        <v>298</v>
      </c>
      <c r="B76" s="530"/>
      <c r="C76" s="530"/>
      <c r="D76" s="531"/>
      <c r="E76" s="202"/>
      <c r="F76" s="231">
        <f>4865</f>
        <v>4865</v>
      </c>
      <c r="G76" s="149"/>
      <c r="H76" s="149">
        <f>7112</f>
        <v>7112</v>
      </c>
      <c r="I76" s="149"/>
      <c r="J76" s="149">
        <f>2876+2795</f>
        <v>5671</v>
      </c>
      <c r="K76" s="149"/>
      <c r="L76" s="149">
        <v>6616</v>
      </c>
      <c r="M76" s="149"/>
      <c r="N76" s="149">
        <f>7443</f>
        <v>7443</v>
      </c>
      <c r="O76" s="149"/>
      <c r="P76" s="149">
        <f>6266</f>
        <v>6266</v>
      </c>
      <c r="Q76" s="150"/>
      <c r="R76" s="269">
        <f>30466</f>
        <v>30466</v>
      </c>
      <c r="S76" s="249"/>
    </row>
    <row r="77" spans="1:22" s="142" customFormat="1" ht="27" customHeight="1" x14ac:dyDescent="0.25">
      <c r="A77" s="553" t="s">
        <v>294</v>
      </c>
      <c r="B77" s="554"/>
      <c r="C77" s="554"/>
      <c r="D77" s="555"/>
      <c r="E77" s="202"/>
      <c r="F77" s="231">
        <v>30104</v>
      </c>
      <c r="G77" s="149"/>
      <c r="H77" s="149">
        <v>44007</v>
      </c>
      <c r="I77" s="149"/>
      <c r="J77" s="149">
        <f>34703</f>
        <v>34703</v>
      </c>
      <c r="K77" s="149"/>
      <c r="L77" s="149">
        <v>40942</v>
      </c>
      <c r="M77" s="149"/>
      <c r="N77" s="149">
        <v>46057</v>
      </c>
      <c r="O77" s="149"/>
      <c r="P77" s="149">
        <v>38772</v>
      </c>
      <c r="Q77" s="150"/>
      <c r="R77" s="269">
        <f>188523</f>
        <v>188523</v>
      </c>
      <c r="S77" s="249"/>
    </row>
    <row r="78" spans="1:22" ht="27" customHeight="1" x14ac:dyDescent="0.25">
      <c r="A78" s="532" t="s">
        <v>181</v>
      </c>
      <c r="B78" s="533"/>
      <c r="C78" s="533"/>
      <c r="D78" s="534"/>
      <c r="E78" s="194"/>
      <c r="F78" s="229">
        <f>144000</f>
        <v>144000</v>
      </c>
      <c r="G78" s="116"/>
      <c r="H78" s="116">
        <f>320000</f>
        <v>320000</v>
      </c>
      <c r="I78" s="116"/>
      <c r="J78" s="116">
        <v>20000</v>
      </c>
      <c r="K78" s="116"/>
      <c r="L78" s="116">
        <f>176000</f>
        <v>176000</v>
      </c>
      <c r="M78" s="116"/>
      <c r="N78" s="116">
        <f>332000</f>
        <v>332000</v>
      </c>
      <c r="O78" s="116"/>
      <c r="P78" s="116">
        <f>288000</f>
        <v>288000</v>
      </c>
      <c r="Q78" s="247"/>
      <c r="R78" s="120">
        <f>3050.85+720000</f>
        <v>723050.85</v>
      </c>
      <c r="S78" s="39">
        <f t="shared" si="1"/>
        <v>2003050.85</v>
      </c>
    </row>
    <row r="79" spans="1:22" ht="27" customHeight="1" x14ac:dyDescent="0.25">
      <c r="A79" s="491" t="s">
        <v>245</v>
      </c>
      <c r="B79" s="492"/>
      <c r="C79" s="492"/>
      <c r="D79" s="493"/>
      <c r="E79" s="198"/>
      <c r="F79" s="213">
        <f>50000+72500</f>
        <v>122500</v>
      </c>
      <c r="G79" s="37"/>
      <c r="H79" s="37">
        <f>50000+72500</f>
        <v>122500</v>
      </c>
      <c r="I79" s="37"/>
      <c r="J79" s="37">
        <f>47500+82500</f>
        <v>130000</v>
      </c>
      <c r="K79" s="37"/>
      <c r="L79" s="37">
        <f>170000+165000</f>
        <v>335000</v>
      </c>
      <c r="M79" s="37"/>
      <c r="N79" s="37">
        <f>35000+80000</f>
        <v>115000</v>
      </c>
      <c r="O79" s="37"/>
      <c r="P79" s="37">
        <f>47500+82500</f>
        <v>130000</v>
      </c>
      <c r="Q79" s="132"/>
      <c r="R79" s="46">
        <f>200000+250000</f>
        <v>450000</v>
      </c>
      <c r="S79" s="39">
        <f t="shared" si="1"/>
        <v>1405000</v>
      </c>
    </row>
    <row r="80" spans="1:22" ht="24.75" customHeight="1" x14ac:dyDescent="0.25">
      <c r="A80" s="496" t="s">
        <v>145</v>
      </c>
      <c r="B80" s="497"/>
      <c r="C80" s="497"/>
      <c r="D80" s="497"/>
      <c r="E80" s="208">
        <f>'[3]16'!$H$38</f>
        <v>48949.63106639839</v>
      </c>
      <c r="F80" s="208">
        <f>SUM(F81:F84)</f>
        <v>14206</v>
      </c>
      <c r="G80" s="119">
        <f>'[3]18'!$J$42</f>
        <v>67146.841421026154</v>
      </c>
      <c r="H80" s="119">
        <f t="shared" ref="H80:R80" si="17">SUM(H81:H84)</f>
        <v>14555</v>
      </c>
      <c r="I80" s="119"/>
      <c r="J80" s="119">
        <f t="shared" si="17"/>
        <v>23383</v>
      </c>
      <c r="K80" s="119"/>
      <c r="L80" s="119">
        <f t="shared" si="17"/>
        <v>35881</v>
      </c>
      <c r="M80" s="119"/>
      <c r="N80" s="119">
        <f t="shared" si="17"/>
        <v>18556</v>
      </c>
      <c r="O80" s="119"/>
      <c r="P80" s="119">
        <f t="shared" si="17"/>
        <v>24778</v>
      </c>
      <c r="Q80" s="119"/>
      <c r="R80" s="262">
        <f t="shared" si="17"/>
        <v>154210</v>
      </c>
      <c r="S80" s="39">
        <f t="shared" si="1"/>
        <v>352715.84142102615</v>
      </c>
    </row>
    <row r="81" spans="1:19" s="142" customFormat="1" ht="24.75" customHeight="1" x14ac:dyDescent="0.25">
      <c r="A81" s="523">
        <v>26</v>
      </c>
      <c r="B81" s="524"/>
      <c r="C81" s="524"/>
      <c r="D81" s="525"/>
      <c r="E81" s="207"/>
      <c r="F81" s="206">
        <f>1385</f>
        <v>1385</v>
      </c>
      <c r="G81" s="44"/>
      <c r="H81" s="44">
        <f>2025</f>
        <v>2025</v>
      </c>
      <c r="I81" s="44"/>
      <c r="J81" s="44">
        <f>861+836</f>
        <v>1697</v>
      </c>
      <c r="K81" s="44"/>
      <c r="L81" s="44">
        <v>2584</v>
      </c>
      <c r="M81" s="44"/>
      <c r="N81" s="44">
        <f>1288</f>
        <v>1288</v>
      </c>
      <c r="O81" s="44"/>
      <c r="P81" s="44">
        <v>1875</v>
      </c>
      <c r="Q81" s="109"/>
      <c r="R81" s="46">
        <f>11896</f>
        <v>11896</v>
      </c>
      <c r="S81" s="249"/>
    </row>
    <row r="82" spans="1:19" ht="24.75" customHeight="1" x14ac:dyDescent="0.25">
      <c r="A82" s="491" t="s">
        <v>294</v>
      </c>
      <c r="B82" s="492"/>
      <c r="C82" s="492"/>
      <c r="D82" s="493"/>
      <c r="E82" s="198"/>
      <c r="F82" s="213">
        <v>8571</v>
      </c>
      <c r="G82" s="37"/>
      <c r="H82" s="37">
        <v>12530</v>
      </c>
      <c r="I82" s="37"/>
      <c r="J82" s="37">
        <f>10386</f>
        <v>10386</v>
      </c>
      <c r="K82" s="37"/>
      <c r="L82" s="37">
        <v>15897</v>
      </c>
      <c r="M82" s="37"/>
      <c r="N82" s="37">
        <v>7968</v>
      </c>
      <c r="O82" s="37"/>
      <c r="P82" s="37">
        <v>11603</v>
      </c>
      <c r="Q82" s="132"/>
      <c r="R82" s="38">
        <f>73614</f>
        <v>73614</v>
      </c>
      <c r="S82" s="39"/>
    </row>
    <row r="83" spans="1:19" ht="24.75" customHeight="1" x14ac:dyDescent="0.25">
      <c r="A83" s="491" t="s">
        <v>195</v>
      </c>
      <c r="B83" s="492"/>
      <c r="C83" s="492"/>
      <c r="D83" s="493"/>
      <c r="E83" s="198"/>
      <c r="F83" s="213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132"/>
      <c r="R83" s="46">
        <f>15000+45000</f>
        <v>60000</v>
      </c>
      <c r="S83" s="39">
        <f t="shared" si="1"/>
        <v>60000</v>
      </c>
    </row>
    <row r="84" spans="1:19" ht="24.75" customHeight="1" x14ac:dyDescent="0.25">
      <c r="A84" s="491" t="s">
        <v>252</v>
      </c>
      <c r="B84" s="492"/>
      <c r="C84" s="492"/>
      <c r="D84" s="493"/>
      <c r="E84" s="198"/>
      <c r="F84" s="213">
        <v>4250</v>
      </c>
      <c r="G84" s="37"/>
      <c r="H84" s="37"/>
      <c r="I84" s="37"/>
      <c r="J84" s="37">
        <v>11300</v>
      </c>
      <c r="K84" s="37"/>
      <c r="L84" s="37">
        <v>17400</v>
      </c>
      <c r="M84" s="37"/>
      <c r="N84" s="37">
        <v>9300</v>
      </c>
      <c r="O84" s="37"/>
      <c r="P84" s="37">
        <v>11300</v>
      </c>
      <c r="Q84" s="132"/>
      <c r="R84" s="46">
        <v>8700</v>
      </c>
      <c r="S84" s="39">
        <f t="shared" si="1"/>
        <v>62250</v>
      </c>
    </row>
    <row r="85" spans="1:19" s="16" customFormat="1" ht="24" customHeight="1" x14ac:dyDescent="0.25">
      <c r="A85" s="547" t="s">
        <v>146</v>
      </c>
      <c r="B85" s="548"/>
      <c r="C85" s="548"/>
      <c r="D85" s="548"/>
      <c r="E85" s="196">
        <f>'[3]16'!$H$39</f>
        <v>224451.96684104629</v>
      </c>
      <c r="F85" s="196">
        <f>SUM(F86:F90)</f>
        <v>171301.6</v>
      </c>
      <c r="G85" s="111">
        <f>'[3]18'!$J$43</f>
        <v>307892.83383299795</v>
      </c>
      <c r="H85" s="111">
        <f t="shared" ref="H85:R85" si="18">SUM(H86:H90)</f>
        <v>509659.61</v>
      </c>
      <c r="I85" s="111"/>
      <c r="J85" s="111">
        <f t="shared" si="18"/>
        <v>348960.95</v>
      </c>
      <c r="K85" s="111"/>
      <c r="L85" s="111">
        <f t="shared" si="18"/>
        <v>350136.63</v>
      </c>
      <c r="M85" s="111"/>
      <c r="N85" s="111">
        <f t="shared" si="18"/>
        <v>188788.5</v>
      </c>
      <c r="O85" s="111"/>
      <c r="P85" s="111">
        <f t="shared" si="18"/>
        <v>400685.4</v>
      </c>
      <c r="Q85" s="111"/>
      <c r="R85" s="265">
        <f t="shared" si="18"/>
        <v>2071170.66</v>
      </c>
      <c r="S85" s="39">
        <f t="shared" si="1"/>
        <v>4348596.1838329975</v>
      </c>
    </row>
    <row r="86" spans="1:19" s="153" customFormat="1" ht="24" customHeight="1" x14ac:dyDescent="0.25">
      <c r="A86" s="526" t="s">
        <v>297</v>
      </c>
      <c r="B86" s="527"/>
      <c r="C86" s="527"/>
      <c r="D86" s="528"/>
      <c r="E86" s="205"/>
      <c r="F86" s="232">
        <f>6351</f>
        <v>6351</v>
      </c>
      <c r="G86" s="151"/>
      <c r="H86" s="151">
        <f>9285</f>
        <v>9285</v>
      </c>
      <c r="I86" s="151"/>
      <c r="J86" s="151">
        <f>3946+3835</f>
        <v>7781</v>
      </c>
      <c r="K86" s="151"/>
      <c r="L86" s="151">
        <v>11846</v>
      </c>
      <c r="M86" s="151"/>
      <c r="N86" s="151">
        <f>5904</f>
        <v>5904</v>
      </c>
      <c r="O86" s="151"/>
      <c r="P86" s="151">
        <v>8598</v>
      </c>
      <c r="Q86" s="152"/>
      <c r="R86" s="266">
        <v>54548</v>
      </c>
      <c r="S86" s="250"/>
    </row>
    <row r="87" spans="1:19" s="153" customFormat="1" ht="24" customHeight="1" x14ac:dyDescent="0.25">
      <c r="A87" s="526" t="s">
        <v>294</v>
      </c>
      <c r="B87" s="527"/>
      <c r="C87" s="527"/>
      <c r="D87" s="528"/>
      <c r="E87" s="205"/>
      <c r="F87" s="232">
        <v>39302</v>
      </c>
      <c r="G87" s="151"/>
      <c r="H87" s="151">
        <v>57454</v>
      </c>
      <c r="I87" s="151"/>
      <c r="J87" s="151">
        <f>47622</f>
        <v>47622</v>
      </c>
      <c r="K87" s="151"/>
      <c r="L87" s="151">
        <v>73306</v>
      </c>
      <c r="M87" s="151"/>
      <c r="N87" s="151">
        <v>36535</v>
      </c>
      <c r="O87" s="151"/>
      <c r="P87" s="151">
        <v>53206</v>
      </c>
      <c r="Q87" s="152"/>
      <c r="R87" s="266">
        <f>337546</f>
        <v>337546</v>
      </c>
      <c r="S87" s="250"/>
    </row>
    <row r="88" spans="1:19" ht="24" customHeight="1" x14ac:dyDescent="0.25">
      <c r="A88" s="491" t="s">
        <v>182</v>
      </c>
      <c r="B88" s="492"/>
      <c r="C88" s="492"/>
      <c r="D88" s="493"/>
      <c r="E88" s="198"/>
      <c r="F88" s="213"/>
      <c r="G88" s="37"/>
      <c r="H88" s="37">
        <f>2237.29</f>
        <v>2237.29</v>
      </c>
      <c r="I88" s="37"/>
      <c r="J88" s="37"/>
      <c r="K88" s="37"/>
      <c r="L88" s="37">
        <f>15661.02</f>
        <v>15661.02</v>
      </c>
      <c r="M88" s="37"/>
      <c r="N88" s="37"/>
      <c r="O88" s="37"/>
      <c r="P88" s="37"/>
      <c r="Q88" s="132"/>
      <c r="R88" s="46">
        <f>318813.58+959796.6</f>
        <v>1278610.18</v>
      </c>
      <c r="S88" s="39">
        <f t="shared" si="1"/>
        <v>1296508.49</v>
      </c>
    </row>
    <row r="89" spans="1:19" ht="24" customHeight="1" x14ac:dyDescent="0.25">
      <c r="A89" s="491" t="s">
        <v>201</v>
      </c>
      <c r="B89" s="492"/>
      <c r="C89" s="492"/>
      <c r="D89" s="493"/>
      <c r="E89" s="198"/>
      <c r="F89" s="213"/>
      <c r="G89" s="37"/>
      <c r="H89" s="37">
        <f>333661.02</f>
        <v>333661.02</v>
      </c>
      <c r="I89" s="37"/>
      <c r="J89" s="37"/>
      <c r="K89" s="37"/>
      <c r="L89" s="37">
        <f>150983.06</f>
        <v>150983.06</v>
      </c>
      <c r="M89" s="37"/>
      <c r="N89" s="37"/>
      <c r="O89" s="37"/>
      <c r="P89" s="37"/>
      <c r="Q89" s="132"/>
      <c r="R89" s="46"/>
      <c r="S89" s="39">
        <f t="shared" si="1"/>
        <v>484644.08</v>
      </c>
    </row>
    <row r="90" spans="1:19" ht="24" customHeight="1" x14ac:dyDescent="0.25">
      <c r="A90" s="491" t="s">
        <v>183</v>
      </c>
      <c r="B90" s="492"/>
      <c r="C90" s="492"/>
      <c r="D90" s="493"/>
      <c r="E90" s="198"/>
      <c r="F90" s="213">
        <f>125648.6</f>
        <v>125648.6</v>
      </c>
      <c r="G90" s="37"/>
      <c r="H90" s="37">
        <f>109259.59-2237.29</f>
        <v>107022.3</v>
      </c>
      <c r="I90" s="37"/>
      <c r="J90" s="37">
        <f>293557.95</f>
        <v>293557.95</v>
      </c>
      <c r="K90" s="37"/>
      <c r="L90" s="37">
        <f>114001.57-L88</f>
        <v>98340.55</v>
      </c>
      <c r="M90" s="37"/>
      <c r="N90" s="37">
        <f>146349.5</f>
        <v>146349.5</v>
      </c>
      <c r="O90" s="37"/>
      <c r="P90" s="37">
        <f>254454.2+84427.2</f>
        <v>338881.4</v>
      </c>
      <c r="Q90" s="132"/>
      <c r="R90" s="46">
        <f>400466.48</f>
        <v>400466.48</v>
      </c>
      <c r="S90" s="39">
        <f t="shared" si="1"/>
        <v>1510266.7800000003</v>
      </c>
    </row>
    <row r="91" spans="1:19" ht="26.25" customHeight="1" x14ac:dyDescent="0.25">
      <c r="A91" s="496" t="s">
        <v>180</v>
      </c>
      <c r="B91" s="497"/>
      <c r="C91" s="497"/>
      <c r="D91" s="497"/>
      <c r="E91" s="208">
        <f>'[3]16'!$H$40</f>
        <v>22683.975372233406</v>
      </c>
      <c r="F91" s="208">
        <f>SUM(F92:F94)</f>
        <v>40614</v>
      </c>
      <c r="G91" s="119">
        <f>'[3]18'!$J$44</f>
        <v>31116.828951207241</v>
      </c>
      <c r="H91" s="119">
        <f t="shared" ref="H91:R91" si="19">SUM(H92:H94)</f>
        <v>42744</v>
      </c>
      <c r="I91" s="119"/>
      <c r="J91" s="119">
        <f t="shared" si="19"/>
        <v>28100</v>
      </c>
      <c r="K91" s="119"/>
      <c r="L91" s="119">
        <f t="shared" si="19"/>
        <v>44606</v>
      </c>
      <c r="M91" s="119"/>
      <c r="N91" s="119">
        <f t="shared" si="19"/>
        <v>40289</v>
      </c>
      <c r="O91" s="119"/>
      <c r="P91" s="119">
        <f t="shared" si="19"/>
        <v>28746</v>
      </c>
      <c r="Q91" s="119"/>
      <c r="R91" s="262">
        <f t="shared" si="19"/>
        <v>102627</v>
      </c>
      <c r="S91" s="39">
        <f t="shared" si="1"/>
        <v>358842.82895120722</v>
      </c>
    </row>
    <row r="92" spans="1:19" s="142" customFormat="1" ht="26.25" customHeight="1" x14ac:dyDescent="0.25">
      <c r="A92" s="523" t="s">
        <v>297</v>
      </c>
      <c r="B92" s="524"/>
      <c r="C92" s="524"/>
      <c r="D92" s="525"/>
      <c r="E92" s="207"/>
      <c r="F92" s="206">
        <f>642</f>
        <v>642</v>
      </c>
      <c r="G92" s="44"/>
      <c r="H92" s="44">
        <f>938</f>
        <v>938</v>
      </c>
      <c r="I92" s="44"/>
      <c r="J92" s="44">
        <f>399+388</f>
        <v>787</v>
      </c>
      <c r="K92" s="44"/>
      <c r="L92" s="44">
        <v>1197</v>
      </c>
      <c r="M92" s="44"/>
      <c r="N92" s="44">
        <f>597</f>
        <v>597</v>
      </c>
      <c r="O92" s="44"/>
      <c r="P92" s="44">
        <v>869</v>
      </c>
      <c r="Q92" s="109"/>
      <c r="R92" s="46">
        <f>5513</f>
        <v>5513</v>
      </c>
      <c r="S92" s="249"/>
    </row>
    <row r="93" spans="1:19" ht="22.5" customHeight="1" x14ac:dyDescent="0.25">
      <c r="A93" s="523" t="s">
        <v>294</v>
      </c>
      <c r="B93" s="524"/>
      <c r="C93" s="524"/>
      <c r="D93" s="525"/>
      <c r="E93" s="207"/>
      <c r="F93" s="213">
        <v>3972</v>
      </c>
      <c r="G93" s="37"/>
      <c r="H93" s="37">
        <v>5806</v>
      </c>
      <c r="I93" s="37"/>
      <c r="J93" s="37">
        <f>4813</f>
        <v>4813</v>
      </c>
      <c r="K93" s="37"/>
      <c r="L93" s="37">
        <v>7409</v>
      </c>
      <c r="M93" s="37"/>
      <c r="N93" s="37">
        <v>3692</v>
      </c>
      <c r="O93" s="37"/>
      <c r="P93" s="37">
        <v>5377</v>
      </c>
      <c r="Q93" s="132"/>
      <c r="R93" s="46">
        <f>34114</f>
        <v>34114</v>
      </c>
      <c r="S93" s="39"/>
    </row>
    <row r="94" spans="1:19" ht="24" customHeight="1" x14ac:dyDescent="0.25">
      <c r="A94" s="491" t="s">
        <v>179</v>
      </c>
      <c r="B94" s="492"/>
      <c r="C94" s="492"/>
      <c r="D94" s="493"/>
      <c r="E94" s="198"/>
      <c r="F94" s="213">
        <f>36000</f>
        <v>36000</v>
      </c>
      <c r="G94" s="37"/>
      <c r="H94" s="37">
        <f>36000</f>
        <v>36000</v>
      </c>
      <c r="I94" s="37"/>
      <c r="J94" s="37">
        <f>22500</f>
        <v>22500</v>
      </c>
      <c r="K94" s="37"/>
      <c r="L94" s="37">
        <f>36000</f>
        <v>36000</v>
      </c>
      <c r="M94" s="37"/>
      <c r="N94" s="37">
        <f>36000</f>
        <v>36000</v>
      </c>
      <c r="O94" s="37"/>
      <c r="P94" s="37">
        <f>22500</f>
        <v>22500</v>
      </c>
      <c r="Q94" s="132"/>
      <c r="R94" s="46">
        <f>63000</f>
        <v>63000</v>
      </c>
      <c r="S94" s="39">
        <f t="shared" si="1"/>
        <v>252000</v>
      </c>
    </row>
    <row r="95" spans="1:19" ht="31.5" customHeight="1" x14ac:dyDescent="0.25">
      <c r="A95" s="496" t="s">
        <v>130</v>
      </c>
      <c r="B95" s="497"/>
      <c r="C95" s="497"/>
      <c r="D95" s="497"/>
      <c r="E95" s="208">
        <f>'[3]16'!$H$23</f>
        <v>218482.49963782702</v>
      </c>
      <c r="F95" s="208">
        <f>SUM(F96:F98)</f>
        <v>357790.68000000005</v>
      </c>
      <c r="G95" s="119">
        <f>'[3]18'!$J$27</f>
        <v>299704.1946353119</v>
      </c>
      <c r="H95" s="119">
        <f t="shared" ref="H95:R95" si="20">SUM(H96:H98)</f>
        <v>463112.36</v>
      </c>
      <c r="I95" s="119"/>
      <c r="J95" s="119">
        <f t="shared" si="20"/>
        <v>337333.20000000007</v>
      </c>
      <c r="K95" s="119"/>
      <c r="L95" s="119">
        <f t="shared" si="20"/>
        <v>537688</v>
      </c>
      <c r="M95" s="119"/>
      <c r="N95" s="119">
        <f t="shared" si="20"/>
        <v>291140.16000000003</v>
      </c>
      <c r="O95" s="119"/>
      <c r="P95" s="119">
        <f t="shared" si="20"/>
        <v>528554.15999999992</v>
      </c>
      <c r="Q95" s="119"/>
      <c r="R95" s="262">
        <f t="shared" si="20"/>
        <v>2418186.3200000003</v>
      </c>
      <c r="S95" s="39"/>
    </row>
    <row r="96" spans="1:19" s="142" customFormat="1" ht="31.5" customHeight="1" x14ac:dyDescent="0.25">
      <c r="A96" s="523">
        <v>26</v>
      </c>
      <c r="B96" s="524"/>
      <c r="C96" s="524"/>
      <c r="D96" s="525"/>
      <c r="E96" s="207"/>
      <c r="F96" s="206">
        <f>6182+38257</f>
        <v>44439</v>
      </c>
      <c r="G96" s="44"/>
      <c r="H96" s="44">
        <f>9038+55926</f>
        <v>64964</v>
      </c>
      <c r="I96" s="44"/>
      <c r="J96" s="44">
        <f>4219+4101+50915</f>
        <v>59235</v>
      </c>
      <c r="K96" s="44"/>
      <c r="L96" s="44">
        <f>11720+72527</f>
        <v>84247</v>
      </c>
      <c r="M96" s="44"/>
      <c r="N96" s="44">
        <f>6532+40421</f>
        <v>46953</v>
      </c>
      <c r="O96" s="44"/>
      <c r="P96" s="44">
        <f>9193+56885</f>
        <v>66078</v>
      </c>
      <c r="Q96" s="109"/>
      <c r="R96" s="46">
        <f>53968</f>
        <v>53968</v>
      </c>
      <c r="S96" s="249"/>
    </row>
    <row r="97" spans="1:20" ht="30" customHeight="1" x14ac:dyDescent="0.25">
      <c r="A97" s="540" t="s">
        <v>130</v>
      </c>
      <c r="B97" s="541"/>
      <c r="C97" s="541"/>
      <c r="D97" s="541"/>
      <c r="E97" s="206"/>
      <c r="F97" s="213">
        <f>470027.4-F29</f>
        <v>313351.68000000005</v>
      </c>
      <c r="G97" s="37"/>
      <c r="H97" s="37">
        <f>614324.76-216176.4</f>
        <v>398148.36</v>
      </c>
      <c r="I97" s="37"/>
      <c r="J97" s="37">
        <f>446180.28-168082.08</f>
        <v>278098.20000000007</v>
      </c>
      <c r="K97" s="37"/>
      <c r="L97" s="37">
        <f>565005.72-123557.52</f>
        <v>441448.19999999995</v>
      </c>
      <c r="M97" s="37"/>
      <c r="N97" s="37">
        <f>456226.44-212039.28</f>
        <v>244187.16</v>
      </c>
      <c r="O97" s="37"/>
      <c r="P97" s="37">
        <f>814929.84-352453.68</f>
        <v>462476.16</v>
      </c>
      <c r="Q97" s="132"/>
      <c r="R97" s="38">
        <f>81637.92+162385.45*12+333955</f>
        <v>2364218.3200000003</v>
      </c>
      <c r="S97" s="39">
        <f t="shared" si="1"/>
        <v>4501928.08</v>
      </c>
      <c r="T97" t="s">
        <v>174</v>
      </c>
    </row>
    <row r="98" spans="1:20" ht="30" customHeight="1" x14ac:dyDescent="0.25">
      <c r="A98" s="523" t="s">
        <v>203</v>
      </c>
      <c r="B98" s="524"/>
      <c r="C98" s="524"/>
      <c r="D98" s="525"/>
      <c r="E98" s="207"/>
      <c r="F98" s="213"/>
      <c r="G98" s="37"/>
      <c r="H98" s="37"/>
      <c r="I98" s="37"/>
      <c r="J98" s="37"/>
      <c r="K98" s="37"/>
      <c r="L98" s="37">
        <f>11992.8</f>
        <v>11992.8</v>
      </c>
      <c r="M98" s="37"/>
      <c r="N98" s="37"/>
      <c r="O98" s="37"/>
      <c r="P98" s="37"/>
      <c r="Q98" s="132"/>
      <c r="R98" s="38"/>
      <c r="S98" s="39">
        <f t="shared" si="1"/>
        <v>11992.8</v>
      </c>
    </row>
    <row r="99" spans="1:20" ht="24.75" customHeight="1" x14ac:dyDescent="0.25">
      <c r="A99" s="496" t="s">
        <v>147</v>
      </c>
      <c r="B99" s="497"/>
      <c r="C99" s="497"/>
      <c r="D99" s="497"/>
      <c r="E99" s="208">
        <f>'[3]16'!$H$41</f>
        <v>139685.532555332</v>
      </c>
      <c r="F99" s="208">
        <f>SUM(F100:F102)</f>
        <v>93871</v>
      </c>
      <c r="G99" s="119">
        <f>'[3]18'!$J$45</f>
        <v>191614.1572258551</v>
      </c>
      <c r="H99" s="119">
        <f t="shared" ref="H99:R99" si="21">SUM(H100:H102)</f>
        <v>133780</v>
      </c>
      <c r="I99" s="119"/>
      <c r="J99" s="119">
        <f t="shared" si="21"/>
        <v>105722</v>
      </c>
      <c r="K99" s="119"/>
      <c r="L99" s="119">
        <f t="shared" si="21"/>
        <v>148714</v>
      </c>
      <c r="M99" s="119"/>
      <c r="N99" s="119">
        <f t="shared" si="21"/>
        <v>80989</v>
      </c>
      <c r="O99" s="119"/>
      <c r="P99" s="119">
        <f t="shared" si="21"/>
        <v>116613</v>
      </c>
      <c r="Q99" s="119"/>
      <c r="R99" s="262">
        <f t="shared" si="21"/>
        <v>685305</v>
      </c>
      <c r="S99" s="39">
        <f t="shared" si="1"/>
        <v>1556608.1572258552</v>
      </c>
    </row>
    <row r="100" spans="1:20" ht="24.75" customHeight="1" x14ac:dyDescent="0.25">
      <c r="A100" s="523" t="s">
        <v>297</v>
      </c>
      <c r="B100" s="524"/>
      <c r="C100" s="524"/>
      <c r="D100" s="525"/>
      <c r="E100" s="207"/>
      <c r="F100" s="213">
        <f>3953</f>
        <v>3953</v>
      </c>
      <c r="G100" s="37"/>
      <c r="H100" s="37">
        <f>5778</f>
        <v>5778</v>
      </c>
      <c r="I100" s="37"/>
      <c r="J100" s="37">
        <f>2456+2387</f>
        <v>4843</v>
      </c>
      <c r="K100" s="37"/>
      <c r="L100" s="37">
        <v>7373</v>
      </c>
      <c r="M100" s="37"/>
      <c r="N100" s="37">
        <f>3674</f>
        <v>3674</v>
      </c>
      <c r="O100" s="37"/>
      <c r="P100" s="37">
        <f>5351</f>
        <v>5351</v>
      </c>
      <c r="Q100" s="132"/>
      <c r="R100" s="38">
        <f>33947</f>
        <v>33947</v>
      </c>
      <c r="S100" s="39"/>
    </row>
    <row r="101" spans="1:20" ht="24.75" customHeight="1" x14ac:dyDescent="0.25">
      <c r="A101" s="523" t="s">
        <v>310</v>
      </c>
      <c r="B101" s="524"/>
      <c r="C101" s="524"/>
      <c r="D101" s="525"/>
      <c r="E101" s="207"/>
      <c r="F101" s="213">
        <f>65459</f>
        <v>65459</v>
      </c>
      <c r="G101" s="37"/>
      <c r="H101" s="37">
        <f>92246</f>
        <v>92246</v>
      </c>
      <c r="I101" s="37"/>
      <c r="J101" s="37">
        <f>71242</f>
        <v>71242</v>
      </c>
      <c r="K101" s="37"/>
      <c r="L101" s="37">
        <f>95719</f>
        <v>95719</v>
      </c>
      <c r="M101" s="37"/>
      <c r="N101" s="37">
        <f>54578</f>
        <v>54578</v>
      </c>
      <c r="O101" s="37"/>
      <c r="P101" s="37">
        <f>78150</f>
        <v>78150</v>
      </c>
      <c r="Q101" s="132"/>
      <c r="R101" s="38">
        <f>441290</f>
        <v>441290</v>
      </c>
      <c r="S101" s="39"/>
    </row>
    <row r="102" spans="1:20" ht="24.75" customHeight="1" x14ac:dyDescent="0.25">
      <c r="A102" s="523" t="s">
        <v>294</v>
      </c>
      <c r="B102" s="524"/>
      <c r="C102" s="524"/>
      <c r="D102" s="525"/>
      <c r="E102" s="207"/>
      <c r="F102" s="213">
        <v>24459</v>
      </c>
      <c r="G102" s="37"/>
      <c r="H102" s="37">
        <f>35756</f>
        <v>35756</v>
      </c>
      <c r="I102" s="37"/>
      <c r="J102" s="37">
        <f>29637</f>
        <v>29637</v>
      </c>
      <c r="K102" s="37"/>
      <c r="L102" s="37">
        <v>45622</v>
      </c>
      <c r="M102" s="37"/>
      <c r="N102" s="37">
        <v>22737</v>
      </c>
      <c r="O102" s="37"/>
      <c r="P102" s="37">
        <v>33112</v>
      </c>
      <c r="Q102" s="132"/>
      <c r="R102" s="38">
        <f>210068</f>
        <v>210068</v>
      </c>
      <c r="S102" s="39"/>
    </row>
    <row r="103" spans="1:20" ht="33" customHeight="1" x14ac:dyDescent="0.25">
      <c r="A103" s="547" t="s">
        <v>172</v>
      </c>
      <c r="B103" s="548"/>
      <c r="C103" s="548"/>
      <c r="D103" s="548"/>
      <c r="E103" s="196">
        <f>'[3]16'!$H$42</f>
        <v>376076.43380281696</v>
      </c>
      <c r="F103" s="208">
        <f>SUM(F104:F112)</f>
        <v>491679.35225340782</v>
      </c>
      <c r="G103" s="119">
        <f>'[3]18'!$J$46</f>
        <v>515884.26945422537</v>
      </c>
      <c r="H103" s="119">
        <f t="shared" ref="H103:R103" si="22">SUM(H104:H112)</f>
        <v>507015.49056104338</v>
      </c>
      <c r="I103" s="119"/>
      <c r="J103" s="119">
        <f t="shared" si="22"/>
        <v>413328.50873402227</v>
      </c>
      <c r="K103" s="119"/>
      <c r="L103" s="119">
        <f t="shared" si="22"/>
        <v>425755.21668122074</v>
      </c>
      <c r="M103" s="119"/>
      <c r="N103" s="119">
        <f t="shared" si="22"/>
        <v>314879.71016491845</v>
      </c>
      <c r="O103" s="119"/>
      <c r="P103" s="119">
        <f t="shared" si="22"/>
        <v>460305.55451819184</v>
      </c>
      <c r="Q103" s="119"/>
      <c r="R103" s="262">
        <f t="shared" si="22"/>
        <v>2526489.5870871954</v>
      </c>
      <c r="S103" s="39">
        <f t="shared" si="1"/>
        <v>5655337.6894542249</v>
      </c>
    </row>
    <row r="104" spans="1:20" s="142" customFormat="1" ht="33" customHeight="1" x14ac:dyDescent="0.25">
      <c r="A104" s="526" t="s">
        <v>294</v>
      </c>
      <c r="B104" s="527"/>
      <c r="C104" s="527"/>
      <c r="D104" s="528"/>
      <c r="E104" s="205"/>
      <c r="F104" s="206">
        <f>10642+65852+142676</f>
        <v>219170</v>
      </c>
      <c r="G104" s="44"/>
      <c r="H104" s="44">
        <f>15557+96265</f>
        <v>111822</v>
      </c>
      <c r="I104" s="44"/>
      <c r="J104" s="44">
        <f>6612+6426+79792</f>
        <v>92830</v>
      </c>
      <c r="K104" s="44"/>
      <c r="L104" s="44"/>
      <c r="M104" s="44"/>
      <c r="N104" s="44">
        <f>9892+61215</f>
        <v>71107</v>
      </c>
      <c r="O104" s="44"/>
      <c r="P104" s="44">
        <f>14407+89148</f>
        <v>103555</v>
      </c>
      <c r="Q104" s="109"/>
      <c r="R104" s="46">
        <f>565568</f>
        <v>565568</v>
      </c>
      <c r="S104" s="249"/>
    </row>
    <row r="105" spans="1:20" s="142" customFormat="1" ht="33" customHeight="1" x14ac:dyDescent="0.25">
      <c r="A105" s="549" t="s">
        <v>312</v>
      </c>
      <c r="B105" s="527"/>
      <c r="C105" s="527"/>
      <c r="D105" s="528"/>
      <c r="E105" s="205"/>
      <c r="F105" s="206">
        <f>17172</f>
        <v>17172</v>
      </c>
      <c r="G105" s="44"/>
      <c r="H105" s="44">
        <f>24199</f>
        <v>24199</v>
      </c>
      <c r="I105" s="44"/>
      <c r="J105" s="44">
        <f>18689</f>
        <v>18689</v>
      </c>
      <c r="K105" s="44"/>
      <c r="L105" s="44">
        <f>25110</f>
        <v>25110</v>
      </c>
      <c r="M105" s="44"/>
      <c r="N105" s="44">
        <f>14317</f>
        <v>14317</v>
      </c>
      <c r="O105" s="44"/>
      <c r="P105" s="44">
        <f>20501</f>
        <v>20501</v>
      </c>
      <c r="Q105" s="109"/>
      <c r="R105" s="46">
        <f>115763</f>
        <v>115763</v>
      </c>
      <c r="S105" s="249"/>
    </row>
    <row r="106" spans="1:20" ht="18.75" customHeight="1" x14ac:dyDescent="0.25">
      <c r="A106" s="494" t="s">
        <v>148</v>
      </c>
      <c r="B106" s="495"/>
      <c r="C106" s="495"/>
      <c r="D106" s="495"/>
      <c r="E106" s="213"/>
      <c r="F106" s="213">
        <v>37147.993276287591</v>
      </c>
      <c r="G106" s="37"/>
      <c r="H106" s="37">
        <v>54304.55986834268</v>
      </c>
      <c r="I106" s="37"/>
      <c r="J106" s="37">
        <v>44615.398556016131</v>
      </c>
      <c r="K106" s="37"/>
      <c r="L106" s="37">
        <v>59093.743870544175</v>
      </c>
      <c r="M106" s="37"/>
      <c r="N106" s="37">
        <v>33871.949774756722</v>
      </c>
      <c r="O106" s="37"/>
      <c r="P106" s="37">
        <v>49847.039453869016</v>
      </c>
      <c r="Q106" s="132"/>
      <c r="R106" s="38">
        <v>272102.31520018366</v>
      </c>
      <c r="S106" s="39">
        <f t="shared" si="1"/>
        <v>550983</v>
      </c>
      <c r="T106" t="s">
        <v>175</v>
      </c>
    </row>
    <row r="107" spans="1:20" ht="18.75" customHeight="1" x14ac:dyDescent="0.25">
      <c r="A107" s="491" t="s">
        <v>314</v>
      </c>
      <c r="B107" s="492"/>
      <c r="C107" s="492"/>
      <c r="D107" s="493"/>
      <c r="E107" s="198"/>
      <c r="F107" s="213">
        <f>43080</f>
        <v>43080</v>
      </c>
      <c r="G107" s="37"/>
      <c r="H107" s="37">
        <v>60709</v>
      </c>
      <c r="I107" s="37"/>
      <c r="J107" s="37">
        <v>46886</v>
      </c>
      <c r="K107" s="37"/>
      <c r="L107" s="37">
        <v>62995</v>
      </c>
      <c r="M107" s="37"/>
      <c r="N107" s="37">
        <v>35919</v>
      </c>
      <c r="O107" s="37"/>
      <c r="P107" s="37">
        <f>51433</f>
        <v>51433</v>
      </c>
      <c r="Q107" s="132"/>
      <c r="R107" s="38">
        <v>290423</v>
      </c>
      <c r="S107" s="39"/>
    </row>
    <row r="108" spans="1:20" ht="25.5" customHeight="1" x14ac:dyDescent="0.25">
      <c r="A108" s="494" t="s">
        <v>149</v>
      </c>
      <c r="B108" s="495"/>
      <c r="C108" s="495"/>
      <c r="D108" s="495"/>
      <c r="E108" s="213"/>
      <c r="F108" s="213">
        <f>SUM(F110:F111)</f>
        <v>3202</v>
      </c>
      <c r="G108" s="37"/>
      <c r="H108" s="37">
        <f t="shared" ref="H108:R108" si="23">SUM(H110:H111)</f>
        <v>4680</v>
      </c>
      <c r="I108" s="37"/>
      <c r="J108" s="37">
        <f t="shared" si="23"/>
        <v>3845</v>
      </c>
      <c r="K108" s="37"/>
      <c r="L108" s="37">
        <f t="shared" si="23"/>
        <v>5093</v>
      </c>
      <c r="M108" s="37"/>
      <c r="N108" s="37">
        <f t="shared" si="23"/>
        <v>2919</v>
      </c>
      <c r="O108" s="37"/>
      <c r="P108" s="37">
        <f t="shared" si="23"/>
        <v>4296</v>
      </c>
      <c r="Q108" s="37"/>
      <c r="R108" s="38">
        <f t="shared" si="23"/>
        <v>23449</v>
      </c>
      <c r="S108" s="39">
        <f t="shared" si="1"/>
        <v>47484</v>
      </c>
    </row>
    <row r="109" spans="1:20" ht="58.5" customHeight="1" x14ac:dyDescent="0.25">
      <c r="A109" s="491" t="s">
        <v>283</v>
      </c>
      <c r="B109" s="492"/>
      <c r="C109" s="492"/>
      <c r="D109" s="493"/>
      <c r="E109" s="198"/>
      <c r="F109" s="213">
        <f>'26 счёт'!T2</f>
        <v>159845.35897712028</v>
      </c>
      <c r="G109" s="37"/>
      <c r="H109" s="37">
        <f>'26 счёт'!T3</f>
        <v>233668.93069270067</v>
      </c>
      <c r="I109" s="37"/>
      <c r="J109" s="37">
        <f>'26 счёт'!T7</f>
        <v>191977.11017800614</v>
      </c>
      <c r="K109" s="37"/>
      <c r="L109" s="37">
        <f>'26 счёт'!T6</f>
        <v>254276.47281067655</v>
      </c>
      <c r="M109" s="37"/>
      <c r="N109" s="37">
        <f>'26 счёт'!T4</f>
        <v>145748.76039016168</v>
      </c>
      <c r="O109" s="37"/>
      <c r="P109" s="37">
        <f>'26 счёт'!T5</f>
        <v>214488.5150643228</v>
      </c>
      <c r="Q109" s="132"/>
      <c r="R109" s="38">
        <f>'26 счёт'!T8</f>
        <v>1170838.2718870118</v>
      </c>
      <c r="S109" s="39">
        <f>SUM(F109:R109)</f>
        <v>2370843.42</v>
      </c>
    </row>
    <row r="110" spans="1:20" ht="25.5" customHeight="1" x14ac:dyDescent="0.25">
      <c r="A110" s="491" t="s">
        <v>253</v>
      </c>
      <c r="B110" s="492"/>
      <c r="C110" s="492"/>
      <c r="D110" s="493"/>
      <c r="E110" s="198"/>
      <c r="F110" s="213">
        <f>1800</f>
        <v>1800</v>
      </c>
      <c r="G110" s="37"/>
      <c r="H110" s="37">
        <f>2631</f>
        <v>2631</v>
      </c>
      <c r="I110" s="37"/>
      <c r="J110" s="37">
        <f>2162</f>
        <v>2162</v>
      </c>
      <c r="K110" s="37"/>
      <c r="L110" s="37">
        <f>2863</f>
        <v>2863</v>
      </c>
      <c r="M110" s="37"/>
      <c r="N110" s="37">
        <f>1641</f>
        <v>1641</v>
      </c>
      <c r="O110" s="37"/>
      <c r="P110" s="37">
        <f>2415</f>
        <v>2415</v>
      </c>
      <c r="Q110" s="132"/>
      <c r="R110" s="38">
        <f>13183</f>
        <v>13183</v>
      </c>
      <c r="S110" s="39">
        <f t="shared" si="1"/>
        <v>26695</v>
      </c>
    </row>
    <row r="111" spans="1:20" ht="25.5" customHeight="1" x14ac:dyDescent="0.25">
      <c r="A111" s="491" t="s">
        <v>254</v>
      </c>
      <c r="B111" s="492"/>
      <c r="C111" s="492"/>
      <c r="D111" s="493"/>
      <c r="E111" s="198"/>
      <c r="F111" s="213">
        <v>1402</v>
      </c>
      <c r="G111" s="37"/>
      <c r="H111" s="37">
        <v>2049</v>
      </c>
      <c r="I111" s="37"/>
      <c r="J111" s="37">
        <v>1683</v>
      </c>
      <c r="K111" s="37"/>
      <c r="L111" s="37">
        <v>2230</v>
      </c>
      <c r="M111" s="37"/>
      <c r="N111" s="37">
        <v>1278</v>
      </c>
      <c r="O111" s="37"/>
      <c r="P111" s="37">
        <v>1881</v>
      </c>
      <c r="Q111" s="132"/>
      <c r="R111" s="38">
        <v>10266</v>
      </c>
      <c r="S111" s="39">
        <f t="shared" si="1"/>
        <v>20789</v>
      </c>
    </row>
    <row r="112" spans="1:20" ht="25.5" customHeight="1" x14ac:dyDescent="0.25">
      <c r="A112" s="491" t="s">
        <v>258</v>
      </c>
      <c r="B112" s="492"/>
      <c r="C112" s="492"/>
      <c r="D112" s="493"/>
      <c r="E112" s="198"/>
      <c r="F112" s="213">
        <v>8860</v>
      </c>
      <c r="G112" s="37"/>
      <c r="H112" s="37">
        <v>12952</v>
      </c>
      <c r="I112" s="37"/>
      <c r="J112" s="37">
        <f>10641</f>
        <v>10641</v>
      </c>
      <c r="K112" s="37"/>
      <c r="L112" s="37">
        <f>14094</f>
        <v>14094</v>
      </c>
      <c r="M112" s="37"/>
      <c r="N112" s="37">
        <v>8078</v>
      </c>
      <c r="O112" s="37"/>
      <c r="P112" s="37">
        <v>11889</v>
      </c>
      <c r="Q112" s="132"/>
      <c r="R112" s="38">
        <f>64897</f>
        <v>64897</v>
      </c>
      <c r="S112" s="39">
        <f>SUM(F112:R112)</f>
        <v>131411</v>
      </c>
    </row>
    <row r="113" spans="1:25" ht="23.25" customHeight="1" x14ac:dyDescent="0.25">
      <c r="A113" s="496" t="s">
        <v>150</v>
      </c>
      <c r="B113" s="497"/>
      <c r="C113" s="497"/>
      <c r="D113" s="497"/>
      <c r="E113" s="208"/>
      <c r="F113" s="23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248"/>
      <c r="R113" s="160"/>
      <c r="S113" s="39">
        <f t="shared" si="1"/>
        <v>0</v>
      </c>
    </row>
    <row r="114" spans="1:25" ht="33" customHeight="1" x14ac:dyDescent="0.25">
      <c r="A114" s="496" t="s">
        <v>299</v>
      </c>
      <c r="B114" s="497"/>
      <c r="C114" s="497"/>
      <c r="D114" s="497"/>
      <c r="E114" s="208"/>
      <c r="F114" s="233">
        <f>SUM(F115:F117)</f>
        <v>0</v>
      </c>
      <c r="G114" s="13"/>
      <c r="H114" s="13">
        <f t="shared" ref="H114:R114" si="24">SUM(H115:H117)</f>
        <v>0</v>
      </c>
      <c r="I114" s="13"/>
      <c r="J114" s="13">
        <f t="shared" si="24"/>
        <v>0</v>
      </c>
      <c r="K114" s="13"/>
      <c r="L114" s="13">
        <f t="shared" si="24"/>
        <v>152077</v>
      </c>
      <c r="M114" s="13"/>
      <c r="N114" s="13">
        <f t="shared" si="24"/>
        <v>0</v>
      </c>
      <c r="O114" s="13"/>
      <c r="P114" s="13">
        <f t="shared" si="24"/>
        <v>0</v>
      </c>
      <c r="Q114" s="13"/>
      <c r="R114" s="160">
        <f t="shared" si="24"/>
        <v>816382.72</v>
      </c>
      <c r="S114" s="39">
        <f t="shared" si="1"/>
        <v>968459.72</v>
      </c>
      <c r="T114" t="s">
        <v>176</v>
      </c>
    </row>
    <row r="115" spans="1:25" ht="33" customHeight="1" x14ac:dyDescent="0.25">
      <c r="A115" s="491" t="s">
        <v>297</v>
      </c>
      <c r="B115" s="492"/>
      <c r="C115" s="492"/>
      <c r="D115" s="493"/>
      <c r="E115" s="198"/>
      <c r="F115" s="176"/>
      <c r="G115" s="4"/>
      <c r="H115" s="4"/>
      <c r="I115" s="4"/>
      <c r="J115" s="4"/>
      <c r="K115" s="4"/>
      <c r="L115" s="4">
        <v>5482</v>
      </c>
      <c r="M115" s="4"/>
      <c r="N115" s="4"/>
      <c r="O115" s="4"/>
      <c r="P115" s="4"/>
      <c r="Q115" s="4"/>
      <c r="R115" s="24">
        <f>25243+91397</f>
        <v>116640</v>
      </c>
      <c r="S115" s="39"/>
    </row>
    <row r="116" spans="1:25" ht="33" customHeight="1" x14ac:dyDescent="0.25">
      <c r="A116" s="491" t="s">
        <v>295</v>
      </c>
      <c r="B116" s="492"/>
      <c r="C116" s="492"/>
      <c r="D116" s="493"/>
      <c r="E116" s="198"/>
      <c r="F116" s="176"/>
      <c r="G116" s="4"/>
      <c r="H116" s="4"/>
      <c r="I116" s="4"/>
      <c r="J116" s="4"/>
      <c r="K116" s="4"/>
      <c r="L116" s="4">
        <v>112671</v>
      </c>
      <c r="M116" s="4"/>
      <c r="N116" s="4"/>
      <c r="O116" s="4"/>
      <c r="P116" s="4"/>
      <c r="Q116" s="4"/>
      <c r="R116" s="24">
        <v>543537.72</v>
      </c>
      <c r="S116" s="39"/>
    </row>
    <row r="117" spans="1:25" ht="33" customHeight="1" x14ac:dyDescent="0.25">
      <c r="A117" s="491" t="s">
        <v>296</v>
      </c>
      <c r="B117" s="492"/>
      <c r="C117" s="492"/>
      <c r="D117" s="493"/>
      <c r="E117" s="198"/>
      <c r="F117" s="176"/>
      <c r="G117" s="4"/>
      <c r="H117" s="4"/>
      <c r="I117" s="4"/>
      <c r="J117" s="4"/>
      <c r="K117" s="4"/>
      <c r="L117" s="4">
        <v>33924</v>
      </c>
      <c r="M117" s="4"/>
      <c r="N117" s="4"/>
      <c r="O117" s="4"/>
      <c r="P117" s="4"/>
      <c r="Q117" s="4"/>
      <c r="R117" s="24">
        <f>156205</f>
        <v>156205</v>
      </c>
      <c r="S117" s="39"/>
    </row>
    <row r="118" spans="1:25" ht="25.5" customHeight="1" x14ac:dyDescent="0.25">
      <c r="A118" s="496" t="s">
        <v>189</v>
      </c>
      <c r="B118" s="497"/>
      <c r="C118" s="497"/>
      <c r="D118" s="497"/>
      <c r="E118" s="208"/>
      <c r="F118" s="23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60">
        <f>2200</f>
        <v>2200</v>
      </c>
      <c r="S118" s="39">
        <f t="shared" si="1"/>
        <v>2200</v>
      </c>
    </row>
    <row r="119" spans="1:25" ht="27.75" customHeight="1" x14ac:dyDescent="0.25">
      <c r="A119" s="496" t="s">
        <v>256</v>
      </c>
      <c r="B119" s="497"/>
      <c r="C119" s="497"/>
      <c r="D119" s="497"/>
      <c r="E119" s="208">
        <v>16472</v>
      </c>
      <c r="F119" s="233">
        <v>16472</v>
      </c>
      <c r="G119" s="13">
        <f>H119</f>
        <v>24080</v>
      </c>
      <c r="H119" s="13">
        <v>24080</v>
      </c>
      <c r="I119" s="13"/>
      <c r="J119" s="13">
        <v>19784</v>
      </c>
      <c r="K119" s="13"/>
      <c r="L119" s="13">
        <v>26204</v>
      </c>
      <c r="M119" s="13"/>
      <c r="N119" s="13">
        <v>15020</v>
      </c>
      <c r="O119" s="13"/>
      <c r="P119" s="13">
        <v>22103</v>
      </c>
      <c r="Q119" s="13"/>
      <c r="R119" s="160">
        <v>120657</v>
      </c>
      <c r="S119" s="39">
        <f t="shared" si="1"/>
        <v>268400</v>
      </c>
    </row>
    <row r="120" spans="1:25" ht="27.75" customHeight="1" x14ac:dyDescent="0.25">
      <c r="A120" s="496" t="s">
        <v>257</v>
      </c>
      <c r="B120" s="497"/>
      <c r="C120" s="497"/>
      <c r="D120" s="497"/>
      <c r="E120" s="208">
        <v>1489</v>
      </c>
      <c r="F120" s="233">
        <v>1489</v>
      </c>
      <c r="G120" s="13">
        <f>H120</f>
        <v>2176</v>
      </c>
      <c r="H120" s="13">
        <v>2176</v>
      </c>
      <c r="I120" s="13"/>
      <c r="J120" s="13">
        <v>1788</v>
      </c>
      <c r="K120" s="13"/>
      <c r="L120" s="13">
        <v>2368</v>
      </c>
      <c r="M120" s="13"/>
      <c r="N120" s="13">
        <v>1357</v>
      </c>
      <c r="O120" s="13"/>
      <c r="P120" s="13">
        <v>1998</v>
      </c>
      <c r="Q120" s="13"/>
      <c r="R120" s="160">
        <v>10904</v>
      </c>
      <c r="S120" s="39">
        <f t="shared" ref="S120:S121" si="25">SUM(F120:R120)</f>
        <v>24256</v>
      </c>
    </row>
    <row r="121" spans="1:25" ht="38.25" customHeight="1" x14ac:dyDescent="0.25">
      <c r="A121" s="496" t="s">
        <v>200</v>
      </c>
      <c r="B121" s="497"/>
      <c r="C121" s="497"/>
      <c r="D121" s="497"/>
      <c r="E121" s="208">
        <v>19160</v>
      </c>
      <c r="F121" s="233">
        <f>240+16440+2480</f>
        <v>19160</v>
      </c>
      <c r="G121" s="13">
        <f>H121</f>
        <v>43540</v>
      </c>
      <c r="H121" s="13">
        <f>1360+42180</f>
        <v>43540</v>
      </c>
      <c r="I121" s="13"/>
      <c r="J121" s="13">
        <f>19560</f>
        <v>19560</v>
      </c>
      <c r="K121" s="13"/>
      <c r="L121" s="13">
        <f>540+4320</f>
        <v>4860</v>
      </c>
      <c r="M121" s="13"/>
      <c r="N121" s="13">
        <f>60+9120</f>
        <v>9180</v>
      </c>
      <c r="O121" s="13"/>
      <c r="P121" s="13">
        <f>420+17400</f>
        <v>17820</v>
      </c>
      <c r="Q121" s="13"/>
      <c r="R121" s="160">
        <f>20120+4400</f>
        <v>24520</v>
      </c>
      <c r="S121" s="39">
        <f t="shared" si="25"/>
        <v>182180</v>
      </c>
    </row>
    <row r="122" spans="1:25" ht="27.75" customHeight="1" thickBot="1" x14ac:dyDescent="0.3">
      <c r="A122" s="545" t="s">
        <v>160</v>
      </c>
      <c r="B122" s="546"/>
      <c r="C122" s="546"/>
      <c r="D122" s="546"/>
      <c r="E122" s="234">
        <f>SUM(E121,E118,E114,E113,E103,E99,E95,E91,E85,E80,E75,E70,E65,E58,E55,E52,E49,E35,E31,E26,E24,E21,E20,E17,E10,E5,E120,E119,E39)</f>
        <v>4746920</v>
      </c>
      <c r="F122" s="234">
        <f>SUM(F121,F118,F114,F113,F103,F99,F95,F91,F85,F80,F75,F70,F65,F58,F55,F52,F49,F35,F31,F26,F24,F21,F20,F17,F10,F5,F120,F119,F39)</f>
        <v>4322372.8283050442</v>
      </c>
      <c r="G122" s="161">
        <f>G5+G10+G17+G21+G24+G26+G31+G35+G39+G49+G52+G55+G58+G65+G70+G75+G80+G85+G91+G95+G99+G103-G119-G120-G121</f>
        <v>6441809.8899999987</v>
      </c>
      <c r="H122" s="161">
        <f t="shared" ref="H122:R122" si="26">SUM(H121,H118,H114,H113,H103,H99,H95,H91,H85,H80,H75,H70,H65,H58,H55,H52,H49,H35,H31,H26,H24,H21,H20,H17,H10,H5,H120,H119,H39)</f>
        <v>5966259.8980232859</v>
      </c>
      <c r="I122" s="161"/>
      <c r="J122" s="161">
        <f t="shared" si="26"/>
        <v>4434130.7291882802</v>
      </c>
      <c r="K122" s="161"/>
      <c r="L122" s="161">
        <f t="shared" si="26"/>
        <v>5929033.9377319412</v>
      </c>
      <c r="M122" s="161"/>
      <c r="N122" s="161">
        <f t="shared" si="26"/>
        <v>3547897.6720470716</v>
      </c>
      <c r="O122" s="161"/>
      <c r="P122" s="161">
        <f t="shared" si="26"/>
        <v>5417811.7601139639</v>
      </c>
      <c r="Q122" s="161"/>
      <c r="R122" s="270">
        <f t="shared" si="26"/>
        <v>29490823.369530417</v>
      </c>
      <c r="S122" s="17">
        <f>SUM(F122:R122)</f>
        <v>65550140.084940001</v>
      </c>
      <c r="U122" s="17">
        <v>28248358.690000001</v>
      </c>
      <c r="V122" t="s">
        <v>279</v>
      </c>
      <c r="Y122" s="17"/>
    </row>
    <row r="123" spans="1:25" ht="27.75" customHeight="1" x14ac:dyDescent="0.25">
      <c r="A123" s="49"/>
      <c r="B123" s="49"/>
      <c r="C123" s="49"/>
      <c r="D123" s="49"/>
      <c r="E123" s="214"/>
      <c r="F123" s="214">
        <f>E2-F122</f>
        <v>424547.49169495609</v>
      </c>
      <c r="G123" s="19"/>
      <c r="H123" s="19">
        <f>G2-H122</f>
        <v>545345.99197671376</v>
      </c>
      <c r="I123" s="19"/>
      <c r="J123" s="19">
        <f t="shared" ref="J123:S123" si="27">J2-J122</f>
        <v>656089.67759138159</v>
      </c>
      <c r="K123" s="19"/>
      <c r="L123" s="19">
        <f t="shared" si="27"/>
        <v>-136007.81061329693</v>
      </c>
      <c r="M123" s="19"/>
      <c r="N123" s="19">
        <f t="shared" si="27"/>
        <v>179203.22625801293</v>
      </c>
      <c r="O123" s="19"/>
      <c r="P123" s="19">
        <f t="shared" si="27"/>
        <v>210046.56191993505</v>
      </c>
      <c r="Q123" s="19"/>
      <c r="R123" s="19">
        <f t="shared" si="27"/>
        <v>139702.83385941759</v>
      </c>
      <c r="S123" s="17">
        <f t="shared" si="27"/>
        <v>52140452.12675494</v>
      </c>
      <c r="U123" s="17">
        <v>4363144.87</v>
      </c>
      <c r="V123" t="s">
        <v>278</v>
      </c>
    </row>
    <row r="125" spans="1:25" x14ac:dyDescent="0.25">
      <c r="A125" t="s">
        <v>161</v>
      </c>
    </row>
    <row r="126" spans="1:25" ht="33" customHeight="1" x14ac:dyDescent="0.25">
      <c r="A126" s="488" t="s">
        <v>162</v>
      </c>
      <c r="B126" s="488"/>
      <c r="C126" s="488"/>
      <c r="D126" s="488"/>
      <c r="E126" s="488"/>
      <c r="F126" s="488"/>
      <c r="G126" s="488"/>
      <c r="H126" s="488"/>
      <c r="I126" s="488"/>
      <c r="J126" s="488"/>
      <c r="K126" s="187"/>
      <c r="L126">
        <f>395870.58</f>
        <v>395870.58</v>
      </c>
    </row>
    <row r="127" spans="1:25" ht="28.5" customHeight="1" x14ac:dyDescent="0.25">
      <c r="A127" s="488" t="s">
        <v>163</v>
      </c>
      <c r="B127" s="488"/>
      <c r="C127" s="488"/>
      <c r="D127" s="488"/>
      <c r="E127" s="488"/>
      <c r="F127" s="488"/>
      <c r="G127" s="488"/>
      <c r="H127" s="488"/>
      <c r="I127" s="488"/>
      <c r="J127" s="488"/>
      <c r="K127" s="187"/>
      <c r="L127">
        <v>298153.36</v>
      </c>
    </row>
  </sheetData>
  <mergeCells count="131">
    <mergeCell ref="A6:D6"/>
    <mergeCell ref="A12:D12"/>
    <mergeCell ref="A18:D18"/>
    <mergeCell ref="A22:D22"/>
    <mergeCell ref="A25:D25"/>
    <mergeCell ref="A27:D27"/>
    <mergeCell ref="A95:D95"/>
    <mergeCell ref="A96:D96"/>
    <mergeCell ref="A32:D32"/>
    <mergeCell ref="A36:D36"/>
    <mergeCell ref="A40:D40"/>
    <mergeCell ref="A50:D50"/>
    <mergeCell ref="A53:D53"/>
    <mergeCell ref="A56:D56"/>
    <mergeCell ref="A8:D8"/>
    <mergeCell ref="A11:D11"/>
    <mergeCell ref="A19:D19"/>
    <mergeCell ref="A23:D23"/>
    <mergeCell ref="A28:D28"/>
    <mergeCell ref="A10:D10"/>
    <mergeCell ref="A64:D64"/>
    <mergeCell ref="A74:D74"/>
    <mergeCell ref="A68:D68"/>
    <mergeCell ref="A72:D72"/>
    <mergeCell ref="A2:D2"/>
    <mergeCell ref="A103:D103"/>
    <mergeCell ref="A84:D84"/>
    <mergeCell ref="A75:D75"/>
    <mergeCell ref="A45:D45"/>
    <mergeCell ref="A49:D49"/>
    <mergeCell ref="A52:D52"/>
    <mergeCell ref="A55:D55"/>
    <mergeCell ref="A58:D58"/>
    <mergeCell ref="A61:D61"/>
    <mergeCell ref="A48:D48"/>
    <mergeCell ref="A65:D65"/>
    <mergeCell ref="A91:D91"/>
    <mergeCell ref="A94:D94"/>
    <mergeCell ref="A97:D97"/>
    <mergeCell ref="A99:D99"/>
    <mergeCell ref="A67:D67"/>
    <mergeCell ref="A69:D69"/>
    <mergeCell ref="A70:D70"/>
    <mergeCell ref="A73:D73"/>
    <mergeCell ref="A63:D63"/>
    <mergeCell ref="A47:D47"/>
    <mergeCell ref="A100:D100"/>
    <mergeCell ref="A102:D102"/>
    <mergeCell ref="A16:D16"/>
    <mergeCell ref="A14:D14"/>
    <mergeCell ref="A15:D15"/>
    <mergeCell ref="A29:D29"/>
    <mergeCell ref="A31:D31"/>
    <mergeCell ref="A35:D35"/>
    <mergeCell ref="A39:D39"/>
    <mergeCell ref="A42:D42"/>
    <mergeCell ref="A7:D7"/>
    <mergeCell ref="A17:D17"/>
    <mergeCell ref="A20:D20"/>
    <mergeCell ref="A21:D21"/>
    <mergeCell ref="A24:D24"/>
    <mergeCell ref="A38:D38"/>
    <mergeCell ref="A33:D33"/>
    <mergeCell ref="A37:D37"/>
    <mergeCell ref="A41:D41"/>
    <mergeCell ref="A104:D104"/>
    <mergeCell ref="A98:D98"/>
    <mergeCell ref="A85:D85"/>
    <mergeCell ref="A88:D88"/>
    <mergeCell ref="A90:D90"/>
    <mergeCell ref="A13:D13"/>
    <mergeCell ref="A34:D34"/>
    <mergeCell ref="A83:D83"/>
    <mergeCell ref="A109:D109"/>
    <mergeCell ref="A105:D105"/>
    <mergeCell ref="A44:D44"/>
    <mergeCell ref="A46:D46"/>
    <mergeCell ref="A51:D51"/>
    <mergeCell ref="A54:D54"/>
    <mergeCell ref="A57:D57"/>
    <mergeCell ref="A60:D60"/>
    <mergeCell ref="A59:D59"/>
    <mergeCell ref="A66:D66"/>
    <mergeCell ref="A86:D86"/>
    <mergeCell ref="A76:D76"/>
    <mergeCell ref="A81:D81"/>
    <mergeCell ref="A62:D62"/>
    <mergeCell ref="A77:D77"/>
    <mergeCell ref="A82:D82"/>
    <mergeCell ref="A127:J127"/>
    <mergeCell ref="A121:D121"/>
    <mergeCell ref="A122:D122"/>
    <mergeCell ref="A108:D108"/>
    <mergeCell ref="A113:D113"/>
    <mergeCell ref="A114:D114"/>
    <mergeCell ref="A118:D118"/>
    <mergeCell ref="A106:D106"/>
    <mergeCell ref="A126:J126"/>
    <mergeCell ref="A116:D116"/>
    <mergeCell ref="A117:D117"/>
    <mergeCell ref="A115:D115"/>
    <mergeCell ref="A107:D107"/>
    <mergeCell ref="A119:D119"/>
    <mergeCell ref="A120:D120"/>
    <mergeCell ref="A112:D112"/>
    <mergeCell ref="A110:D110"/>
    <mergeCell ref="A111:D111"/>
    <mergeCell ref="A4:D4"/>
    <mergeCell ref="E1:F1"/>
    <mergeCell ref="G1:H1"/>
    <mergeCell ref="I1:J1"/>
    <mergeCell ref="K1:L1"/>
    <mergeCell ref="M1:N1"/>
    <mergeCell ref="O1:P1"/>
    <mergeCell ref="Q1:R1"/>
    <mergeCell ref="A101:D101"/>
    <mergeCell ref="A87:D87"/>
    <mergeCell ref="A93:D93"/>
    <mergeCell ref="A71:D71"/>
    <mergeCell ref="A89:D89"/>
    <mergeCell ref="A78:D78"/>
    <mergeCell ref="A79:D79"/>
    <mergeCell ref="A80:D80"/>
    <mergeCell ref="A92:D92"/>
    <mergeCell ref="A1:D1"/>
    <mergeCell ref="A3:D3"/>
    <mergeCell ref="A5:D5"/>
    <mergeCell ref="A9:D9"/>
    <mergeCell ref="A43:D43"/>
    <mergeCell ref="A26:D26"/>
    <mergeCell ref="A30:D30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/>
  <dimension ref="A1:AE2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5" x14ac:dyDescent="0.25"/>
  <cols>
    <col min="2" max="2" width="18.5703125" customWidth="1"/>
    <col min="3" max="3" width="14.140625" customWidth="1"/>
    <col min="4" max="4" width="12.28515625" customWidth="1"/>
    <col min="5" max="5" width="13" customWidth="1"/>
    <col min="6" max="6" width="9.85546875" customWidth="1"/>
    <col min="7" max="7" width="9.140625" style="58" customWidth="1"/>
    <col min="8" max="8" width="9.140625" style="104" customWidth="1"/>
    <col min="9" max="9" width="9.140625" style="58" customWidth="1"/>
    <col min="10" max="10" width="12.28515625" customWidth="1"/>
    <col min="11" max="11" width="9.140625" style="60" customWidth="1"/>
    <col min="12" max="12" width="9.140625" customWidth="1"/>
    <col min="13" max="13" width="9.140625" style="58" customWidth="1"/>
    <col min="14" max="16" width="9.140625" customWidth="1"/>
    <col min="17" max="17" width="13.85546875" customWidth="1"/>
    <col min="18" max="18" width="12.85546875" customWidth="1"/>
    <col min="19" max="19" width="13.140625" customWidth="1"/>
    <col min="20" max="20" width="13.5703125" customWidth="1"/>
    <col min="21" max="21" width="15.5703125" customWidth="1"/>
    <col min="22" max="22" width="12.140625" customWidth="1"/>
    <col min="23" max="23" width="11.85546875" customWidth="1"/>
    <col min="24" max="24" width="12.5703125" customWidth="1"/>
    <col min="25" max="25" width="11.140625" customWidth="1"/>
    <col min="26" max="26" width="13.42578125" customWidth="1"/>
    <col min="27" max="27" width="14" customWidth="1"/>
    <col min="28" max="28" width="11" customWidth="1"/>
    <col min="29" max="29" width="8.7109375" customWidth="1"/>
    <col min="32" max="32" width="14.140625" customWidth="1"/>
  </cols>
  <sheetData>
    <row r="1" spans="1:31" ht="15.75" thickBot="1" x14ac:dyDescent="0.3">
      <c r="E1" s="596" t="s">
        <v>221</v>
      </c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8"/>
      <c r="Q1" s="69" t="s">
        <v>221</v>
      </c>
      <c r="R1" s="599" t="s">
        <v>218</v>
      </c>
      <c r="S1" s="599" t="s">
        <v>220</v>
      </c>
      <c r="T1" s="599" t="s">
        <v>222</v>
      </c>
      <c r="U1" s="599" t="s">
        <v>223</v>
      </c>
      <c r="V1" s="599" t="s">
        <v>225</v>
      </c>
      <c r="W1" s="599" t="s">
        <v>226</v>
      </c>
      <c r="X1" s="599" t="s">
        <v>227</v>
      </c>
      <c r="Y1" s="599" t="s">
        <v>228</v>
      </c>
      <c r="Z1" s="599" t="s">
        <v>229</v>
      </c>
      <c r="AA1" s="599" t="s">
        <v>230</v>
      </c>
      <c r="AB1" s="599" t="s">
        <v>240</v>
      </c>
      <c r="AC1" s="599" t="s">
        <v>178</v>
      </c>
      <c r="AD1" s="599" t="s">
        <v>243</v>
      </c>
      <c r="AE1" s="599" t="s">
        <v>244</v>
      </c>
    </row>
    <row r="2" spans="1:31" ht="55.5" customHeight="1" x14ac:dyDescent="0.25">
      <c r="C2" t="s">
        <v>165</v>
      </c>
      <c r="D2" t="s">
        <v>166</v>
      </c>
      <c r="E2" s="70" t="s">
        <v>207</v>
      </c>
      <c r="F2" s="84" t="s">
        <v>235</v>
      </c>
      <c r="G2" s="74" t="s">
        <v>234</v>
      </c>
      <c r="H2" s="102" t="s">
        <v>248</v>
      </c>
      <c r="I2" s="74" t="s">
        <v>208</v>
      </c>
      <c r="J2" s="71" t="s">
        <v>216</v>
      </c>
      <c r="K2" s="72" t="s">
        <v>209</v>
      </c>
      <c r="L2" s="73" t="s">
        <v>217</v>
      </c>
      <c r="M2" s="74" t="s">
        <v>210</v>
      </c>
      <c r="N2" s="18" t="s">
        <v>211</v>
      </c>
      <c r="O2" s="18" t="s">
        <v>212</v>
      </c>
      <c r="P2" s="75" t="s">
        <v>213</v>
      </c>
      <c r="Q2" s="93" t="s">
        <v>247</v>
      </c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</row>
    <row r="3" spans="1:31" ht="21.75" customHeight="1" x14ac:dyDescent="0.3">
      <c r="A3" s="441" t="s">
        <v>164</v>
      </c>
      <c r="B3" s="441"/>
      <c r="C3" s="30">
        <f>9334.5+2459.2</f>
        <v>11793.7</v>
      </c>
      <c r="D3" s="66">
        <f>C3*100/$C$11</f>
        <v>7.2838736222573752</v>
      </c>
      <c r="E3" s="76">
        <f>2630</f>
        <v>2630</v>
      </c>
      <c r="F3" s="91">
        <f>16770*D3/100</f>
        <v>1221.5056064525618</v>
      </c>
      <c r="G3" s="12">
        <f>2250+2250+2890+2250+1990+2550+2590</f>
        <v>16770</v>
      </c>
      <c r="H3" s="107">
        <f>11560*D3/100</f>
        <v>842.01579073295261</v>
      </c>
      <c r="I3" s="12"/>
      <c r="J3" s="56">
        <f>4620*D3/100</f>
        <v>336.51496134829074</v>
      </c>
      <c r="K3" s="61"/>
      <c r="L3" s="56">
        <f>4620*D3/100</f>
        <v>336.51496134829074</v>
      </c>
      <c r="M3" s="12">
        <f>1990+2630</f>
        <v>4620</v>
      </c>
      <c r="N3" s="4"/>
      <c r="O3" s="4"/>
      <c r="P3" s="24"/>
      <c r="Q3" s="79">
        <f>SUM(E3,F3,J3,L3,N3,O3,P3,H3)</f>
        <v>5366.5513198820954</v>
      </c>
      <c r="R3" s="79">
        <f>D3*$C$13/100</f>
        <v>613.64814299112822</v>
      </c>
      <c r="S3" s="80"/>
      <c r="T3" s="80"/>
      <c r="U3" s="79">
        <f>D3*$C$14/100</f>
        <v>1944.4242363627084</v>
      </c>
      <c r="V3" s="79">
        <f>D3*$C$15/100</f>
        <v>1514.2000557019899</v>
      </c>
      <c r="W3" s="79">
        <f>D3*$C$16/100</f>
        <v>9571.7390553957794</v>
      </c>
      <c r="X3" s="80">
        <v>4250</v>
      </c>
      <c r="Y3" s="80"/>
      <c r="Z3" s="80"/>
      <c r="AA3" s="80"/>
      <c r="AB3" s="80"/>
      <c r="AC3" s="80"/>
      <c r="AD3" s="79">
        <f>244320*D3/100</f>
        <v>17795.96003389922</v>
      </c>
      <c r="AE3" s="79">
        <f>22080*D3/100</f>
        <v>1608.2792957944284</v>
      </c>
    </row>
    <row r="4" spans="1:31" ht="22.5" customHeight="1" x14ac:dyDescent="0.3">
      <c r="A4" s="441" t="s">
        <v>112</v>
      </c>
      <c r="B4" s="441"/>
      <c r="C4" s="33">
        <f>'[2]весь фонд'!$E$338+2974.36</f>
        <v>16619.94000000001</v>
      </c>
      <c r="D4" s="66">
        <f t="shared" ref="D4:D9" si="0">C4*100/$C$11</f>
        <v>10.264594026429391</v>
      </c>
      <c r="E4" s="76"/>
      <c r="F4" s="91">
        <f>16770*D4/100+2630</f>
        <v>4351.3724182322094</v>
      </c>
      <c r="G4" s="12">
        <f>2630</f>
        <v>2630</v>
      </c>
      <c r="H4" s="107">
        <f t="shared" ref="H4:H8" si="1">11560*D4/100</f>
        <v>1186.5870694552377</v>
      </c>
      <c r="I4" s="12"/>
      <c r="J4" s="56">
        <f t="shared" ref="J4:J10" si="2">4620*D4/100</f>
        <v>474.22424402103786</v>
      </c>
      <c r="K4" s="61">
        <f>1990</f>
        <v>1990</v>
      </c>
      <c r="L4" s="56">
        <f t="shared" ref="L4:L10" si="3">4620*D4/100</f>
        <v>474.22424402103786</v>
      </c>
      <c r="M4" s="12"/>
      <c r="N4" s="4"/>
      <c r="O4" s="4"/>
      <c r="P4" s="24"/>
      <c r="Q4" s="79">
        <f t="shared" ref="Q4:Q10" si="4">SUM(E4,F4,J4,L4,N4,O4,P4,H4)</f>
        <v>6486.4079757295221</v>
      </c>
      <c r="R4" s="79">
        <f t="shared" ref="R4:R10" si="5">D4*$C$13/100</f>
        <v>864.76638524161012</v>
      </c>
      <c r="S4" s="80"/>
      <c r="T4" s="80"/>
      <c r="U4" s="79">
        <f t="shared" ref="U4:U10" si="6">D4*$C$14/100</f>
        <v>2740.1251636801044</v>
      </c>
      <c r="V4" s="79">
        <f t="shared" ref="V4:V10" si="7">D4*$C$15/100</f>
        <v>2133.8438381308447</v>
      </c>
      <c r="W4" s="79">
        <f t="shared" ref="W4:W10" si="8">D4*$C$16/100</f>
        <v>13488.704036590267</v>
      </c>
      <c r="X4" s="80"/>
      <c r="Y4" s="80">
        <f>45711.19</f>
        <v>45711.19</v>
      </c>
      <c r="Z4" s="80"/>
      <c r="AA4" s="80"/>
      <c r="AB4" s="80"/>
      <c r="AC4" s="80"/>
      <c r="AD4" s="79">
        <f t="shared" ref="AD4:AD10" si="9">244320*D4/100</f>
        <v>25078.45612537229</v>
      </c>
      <c r="AE4" s="79">
        <f t="shared" ref="AE4:AE10" si="10">22080*D4/100</f>
        <v>2266.4223610356094</v>
      </c>
    </row>
    <row r="5" spans="1:31" ht="18.75" x14ac:dyDescent="0.3">
      <c r="A5" s="441" t="s">
        <v>115</v>
      </c>
      <c r="B5" s="441"/>
      <c r="C5" s="33">
        <f>'[2]весь фонд'!$E$444+1226+96</f>
        <v>9833.3000000000011</v>
      </c>
      <c r="D5" s="66">
        <f t="shared" si="0"/>
        <v>6.0731165359254051</v>
      </c>
      <c r="E5" s="76"/>
      <c r="F5" s="91">
        <f t="shared" ref="F5:F10" si="11">16770*D5/100</f>
        <v>1018.4616430746905</v>
      </c>
      <c r="G5" s="12"/>
      <c r="H5" s="107">
        <f>11560*D5/100+2630</f>
        <v>3332.0522715529769</v>
      </c>
      <c r="I5" s="12">
        <f>2630</f>
        <v>2630</v>
      </c>
      <c r="J5" s="56">
        <f t="shared" si="2"/>
        <v>280.57798395975374</v>
      </c>
      <c r="K5" s="61"/>
      <c r="L5" s="56">
        <f>4620*D5/100+1990</f>
        <v>2270.5779839597535</v>
      </c>
      <c r="M5" s="12">
        <f>1990</f>
        <v>1990</v>
      </c>
      <c r="N5" s="4"/>
      <c r="O5" s="4"/>
      <c r="P5" s="24">
        <f>2630</f>
        <v>2630</v>
      </c>
      <c r="Q5" s="79">
        <f t="shared" si="4"/>
        <v>9531.6698825471758</v>
      </c>
      <c r="R5" s="79">
        <f t="shared" si="5"/>
        <v>511.64488536037555</v>
      </c>
      <c r="S5" s="80"/>
      <c r="T5" s="80"/>
      <c r="U5" s="79">
        <f t="shared" si="6"/>
        <v>1621.213600772058</v>
      </c>
      <c r="V5" s="79">
        <f t="shared" si="7"/>
        <v>1262.5031506426633</v>
      </c>
      <c r="W5" s="79">
        <f t="shared" si="8"/>
        <v>7980.6830471712292</v>
      </c>
      <c r="X5" s="80">
        <v>9300</v>
      </c>
      <c r="Y5" s="80">
        <f>26577.57</f>
        <v>26577.57</v>
      </c>
      <c r="Z5" s="80"/>
      <c r="AA5" s="80"/>
      <c r="AB5" s="80"/>
      <c r="AC5" s="80"/>
      <c r="AD5" s="79">
        <f t="shared" si="9"/>
        <v>14837.83832057295</v>
      </c>
      <c r="AE5" s="79">
        <f t="shared" si="10"/>
        <v>1340.9441311323294</v>
      </c>
    </row>
    <row r="6" spans="1:31" ht="18.75" x14ac:dyDescent="0.3">
      <c r="A6" s="441" t="s">
        <v>116</v>
      </c>
      <c r="B6" s="441"/>
      <c r="C6" s="33">
        <f>'[2]весь фонд'!$E$614+1554.8</f>
        <v>14080.300000000003</v>
      </c>
      <c r="D6" s="66">
        <f t="shared" si="0"/>
        <v>8.6960941658233235</v>
      </c>
      <c r="E6" s="76">
        <v>2760</v>
      </c>
      <c r="F6" s="91">
        <f t="shared" si="11"/>
        <v>1458.3349916085715</v>
      </c>
      <c r="G6" s="12"/>
      <c r="H6" s="107">
        <f t="shared" si="1"/>
        <v>1005.2684855691763</v>
      </c>
      <c r="I6" s="12"/>
      <c r="J6" s="56">
        <f t="shared" si="2"/>
        <v>401.75955046103758</v>
      </c>
      <c r="K6" s="61"/>
      <c r="L6" s="56">
        <f t="shared" si="3"/>
        <v>401.75955046103758</v>
      </c>
      <c r="M6" s="12"/>
      <c r="N6" s="4"/>
      <c r="O6" s="4"/>
      <c r="P6" s="24">
        <v>1990</v>
      </c>
      <c r="Q6" s="79">
        <f t="shared" si="4"/>
        <v>8017.122578099822</v>
      </c>
      <c r="R6" s="79">
        <f t="shared" si="5"/>
        <v>732.62419323520055</v>
      </c>
      <c r="S6" s="80">
        <f>17489.4</f>
        <v>17489.400000000001</v>
      </c>
      <c r="T6" s="80"/>
      <c r="U6" s="79">
        <f t="shared" si="6"/>
        <v>2321.4153806912036</v>
      </c>
      <c r="V6" s="79">
        <f t="shared" si="7"/>
        <v>1807.7779699585992</v>
      </c>
      <c r="W6" s="79">
        <f t="shared" si="8"/>
        <v>11427.538212917847</v>
      </c>
      <c r="X6" s="80">
        <f>11300</f>
        <v>11300</v>
      </c>
      <c r="Y6" s="80"/>
      <c r="Z6" s="80">
        <f>16000</f>
        <v>16000</v>
      </c>
      <c r="AA6" s="80"/>
      <c r="AB6" s="80"/>
      <c r="AC6" s="80"/>
      <c r="AD6" s="79">
        <f t="shared" si="9"/>
        <v>21246.297265939545</v>
      </c>
      <c r="AE6" s="79">
        <f t="shared" si="10"/>
        <v>1920.0975918137899</v>
      </c>
    </row>
    <row r="7" spans="1:31" ht="18.75" x14ac:dyDescent="0.3">
      <c r="A7" s="441" t="s">
        <v>155</v>
      </c>
      <c r="B7" s="441"/>
      <c r="C7" s="33">
        <f>'[2]весь фонд'!$E$2149+2396.53</f>
        <v>17245.530000000002</v>
      </c>
      <c r="D7" s="66">
        <f t="shared" si="0"/>
        <v>10.650962892802788</v>
      </c>
      <c r="E7" s="76"/>
      <c r="F7" s="91">
        <f t="shared" si="11"/>
        <v>1786.1664771230273</v>
      </c>
      <c r="G7" s="12"/>
      <c r="H7" s="107">
        <f>11560*D7/100+I7</f>
        <v>7836.2513104080026</v>
      </c>
      <c r="I7" s="12">
        <f>3975+2630</f>
        <v>6605</v>
      </c>
      <c r="J7" s="56">
        <f t="shared" si="2"/>
        <v>492.07448564748881</v>
      </c>
      <c r="K7" s="61"/>
      <c r="L7" s="56">
        <f t="shared" si="3"/>
        <v>492.07448564748881</v>
      </c>
      <c r="M7" s="12"/>
      <c r="N7" s="4"/>
      <c r="O7" s="4"/>
      <c r="P7" s="24">
        <f>2630</f>
        <v>2630</v>
      </c>
      <c r="Q7" s="79">
        <f t="shared" si="4"/>
        <v>13236.566758826008</v>
      </c>
      <c r="R7" s="79">
        <f t="shared" si="5"/>
        <v>897.31699631140293</v>
      </c>
      <c r="S7" s="80"/>
      <c r="T7" s="80"/>
      <c r="U7" s="79">
        <f t="shared" si="6"/>
        <v>2843.2660234633895</v>
      </c>
      <c r="V7" s="79">
        <f t="shared" si="7"/>
        <v>2214.1637049111255</v>
      </c>
      <c r="W7" s="79">
        <f t="shared" si="8"/>
        <v>13996.431402528435</v>
      </c>
      <c r="X7" s="80">
        <v>17400</v>
      </c>
      <c r="Y7" s="80"/>
      <c r="Z7" s="80"/>
      <c r="AA7" s="80"/>
      <c r="AB7" s="80"/>
      <c r="AC7" s="80"/>
      <c r="AD7" s="79">
        <f t="shared" si="9"/>
        <v>26022.432539695772</v>
      </c>
      <c r="AE7" s="79">
        <f t="shared" si="10"/>
        <v>2351.7326067308554</v>
      </c>
    </row>
    <row r="8" spans="1:31" ht="18.75" x14ac:dyDescent="0.3">
      <c r="A8" s="441" t="s">
        <v>154</v>
      </c>
      <c r="B8" s="441"/>
      <c r="C8" s="33">
        <f>'[2]весь фонд'!$E$1948+1624.7</f>
        <v>12835.600000000002</v>
      </c>
      <c r="D8" s="66">
        <f t="shared" si="0"/>
        <v>7.9273585275059375</v>
      </c>
      <c r="E8" s="76"/>
      <c r="F8" s="91">
        <f t="shared" si="11"/>
        <v>1329.4180250627458</v>
      </c>
      <c r="G8" s="12"/>
      <c r="H8" s="107">
        <f t="shared" si="1"/>
        <v>916.4026457796864</v>
      </c>
      <c r="I8" s="12"/>
      <c r="J8" s="56">
        <f t="shared" si="2"/>
        <v>366.24396397077436</v>
      </c>
      <c r="K8" s="61">
        <f>2630</f>
        <v>2630</v>
      </c>
      <c r="L8" s="56">
        <f t="shared" si="3"/>
        <v>366.24396397077436</v>
      </c>
      <c r="M8" s="12"/>
      <c r="N8" s="4"/>
      <c r="O8" s="4"/>
      <c r="P8" s="24">
        <f>1990</f>
        <v>1990</v>
      </c>
      <c r="Q8" s="79">
        <f t="shared" si="4"/>
        <v>4968.3085987839813</v>
      </c>
      <c r="R8" s="79">
        <f t="shared" si="5"/>
        <v>667.86013754605654</v>
      </c>
      <c r="S8" s="80"/>
      <c r="T8" s="80"/>
      <c r="U8" s="79">
        <f t="shared" si="6"/>
        <v>2116.2020170308879</v>
      </c>
      <c r="V8" s="79">
        <f t="shared" si="7"/>
        <v>1647.9702073961917</v>
      </c>
      <c r="W8" s="79">
        <f t="shared" si="8"/>
        <v>10417.342633731407</v>
      </c>
      <c r="X8" s="80">
        <f>11300</f>
        <v>11300</v>
      </c>
      <c r="Y8" s="80"/>
      <c r="Z8" s="80"/>
      <c r="AA8" s="80"/>
      <c r="AB8" s="80"/>
      <c r="AC8" s="80"/>
      <c r="AD8" s="79">
        <f t="shared" si="9"/>
        <v>19368.122354402509</v>
      </c>
      <c r="AE8" s="79">
        <f t="shared" si="10"/>
        <v>1750.3607628733109</v>
      </c>
    </row>
    <row r="9" spans="1:31" ht="18.75" x14ac:dyDescent="0.3">
      <c r="A9" s="441" t="s">
        <v>158</v>
      </c>
      <c r="B9" s="441"/>
      <c r="C9" s="33">
        <f>'[2]весь фонд'!$E$1536+7755.8+1834.47+1543.06</f>
        <v>79506.849999999991</v>
      </c>
      <c r="D9" s="66">
        <f t="shared" si="0"/>
        <v>49.104000229255767</v>
      </c>
      <c r="E9" s="76">
        <v>3190</v>
      </c>
      <c r="F9" s="91">
        <f>16770*D9/100+5260</f>
        <v>13494.740838446192</v>
      </c>
      <c r="G9" s="12">
        <f>2630+2630</f>
        <v>5260</v>
      </c>
      <c r="H9" s="107">
        <f>11560*D9/100+I9</f>
        <v>20176.422426501966</v>
      </c>
      <c r="I9" s="12">
        <f>1990+2630+2630+1990+2630+2630</f>
        <v>14500</v>
      </c>
      <c r="J9" s="56">
        <f>4620*D9/100+4620</f>
        <v>6888.6048105916161</v>
      </c>
      <c r="K9" s="61">
        <f>1990+2630</f>
        <v>4620</v>
      </c>
      <c r="L9" s="56">
        <f>4620*D9/100+2630</f>
        <v>4898.6048105916161</v>
      </c>
      <c r="M9" s="12">
        <f>2630</f>
        <v>2630</v>
      </c>
      <c r="N9" s="4">
        <f>4620</f>
        <v>4620</v>
      </c>
      <c r="O9" s="4"/>
      <c r="P9" s="24">
        <f>2630+2630+2630+2630</f>
        <v>10520</v>
      </c>
      <c r="Q9" s="79">
        <f t="shared" si="4"/>
        <v>63788.372886131394</v>
      </c>
      <c r="R9" s="79">
        <f t="shared" si="5"/>
        <v>4136.8892593142255</v>
      </c>
      <c r="S9" s="80"/>
      <c r="T9" s="80">
        <v>45000</v>
      </c>
      <c r="U9" s="79">
        <f t="shared" si="6"/>
        <v>13108.273577999642</v>
      </c>
      <c r="V9" s="79">
        <f t="shared" si="7"/>
        <v>10207.931073258584</v>
      </c>
      <c r="W9" s="79">
        <f t="shared" si="8"/>
        <v>64527.571611665029</v>
      </c>
      <c r="X9" s="80">
        <f>8700</f>
        <v>8700</v>
      </c>
      <c r="Y9" s="80"/>
      <c r="Z9" s="80"/>
      <c r="AA9" s="80">
        <f>4400</f>
        <v>4400</v>
      </c>
      <c r="AB9" s="80">
        <f>12722.63</f>
        <v>12722.63</v>
      </c>
      <c r="AC9" s="80">
        <f>41500</f>
        <v>41500</v>
      </c>
      <c r="AD9" s="79">
        <f t="shared" si="9"/>
        <v>119970.8933601177</v>
      </c>
      <c r="AE9" s="79">
        <f t="shared" si="10"/>
        <v>10842.163250619673</v>
      </c>
    </row>
    <row r="10" spans="1:31" ht="19.5" thickBot="1" x14ac:dyDescent="0.35">
      <c r="A10" s="595" t="s">
        <v>215</v>
      </c>
      <c r="B10" s="595"/>
      <c r="C10" s="53"/>
      <c r="D10" s="67"/>
      <c r="E10" s="77"/>
      <c r="F10" s="94">
        <f t="shared" si="11"/>
        <v>0</v>
      </c>
      <c r="G10" s="59"/>
      <c r="H10" s="103"/>
      <c r="I10" s="59">
        <f>2890+2890+2890+2890</f>
        <v>11560</v>
      </c>
      <c r="J10" s="95">
        <f t="shared" si="2"/>
        <v>0</v>
      </c>
      <c r="K10" s="62"/>
      <c r="L10" s="95">
        <f t="shared" si="3"/>
        <v>0</v>
      </c>
      <c r="M10" s="59"/>
      <c r="N10" s="21"/>
      <c r="O10" s="21"/>
      <c r="P10" s="25"/>
      <c r="Q10" s="79">
        <f t="shared" si="4"/>
        <v>0</v>
      </c>
      <c r="R10" s="79">
        <f t="shared" si="5"/>
        <v>0</v>
      </c>
      <c r="S10" s="80"/>
      <c r="T10" s="80"/>
      <c r="U10" s="79">
        <f t="shared" si="6"/>
        <v>0</v>
      </c>
      <c r="V10" s="79">
        <f t="shared" si="7"/>
        <v>0</v>
      </c>
      <c r="W10" s="79">
        <f t="shared" si="8"/>
        <v>0</v>
      </c>
      <c r="X10" s="80"/>
      <c r="Y10" s="80"/>
      <c r="Z10" s="80"/>
      <c r="AA10" s="80"/>
      <c r="AB10" s="80"/>
      <c r="AC10" s="80"/>
      <c r="AD10" s="80">
        <f t="shared" si="9"/>
        <v>0</v>
      </c>
      <c r="AE10" s="80">
        <f t="shared" si="10"/>
        <v>0</v>
      </c>
    </row>
    <row r="11" spans="1:31" ht="39" customHeight="1" thickBot="1" x14ac:dyDescent="0.3">
      <c r="A11" s="486" t="s">
        <v>169</v>
      </c>
      <c r="B11" s="487"/>
      <c r="C11" s="130">
        <f>SUM(C3:C10)</f>
        <v>161915.22000000003</v>
      </c>
      <c r="D11" s="68">
        <f>SUM(D3:D10)</f>
        <v>99.999999999999986</v>
      </c>
      <c r="E11" s="78">
        <f>SUM(E3:E9)</f>
        <v>8580</v>
      </c>
      <c r="F11" s="92">
        <f>SUM(F3:F10)</f>
        <v>24660</v>
      </c>
      <c r="G11" s="64">
        <f t="shared" ref="G11:P11" si="12">SUM(G3:G9)</f>
        <v>24660</v>
      </c>
      <c r="H11" s="108">
        <f>SUM(H3:H10)</f>
        <v>35295</v>
      </c>
      <c r="I11" s="99">
        <f>SUM(I3:I10)</f>
        <v>35295</v>
      </c>
      <c r="J11" s="57">
        <f>SUM(J3:J10)</f>
        <v>9240</v>
      </c>
      <c r="K11" s="63">
        <f>SUM(K3:K9)</f>
        <v>9240</v>
      </c>
      <c r="L11" s="22">
        <f>SUM(L3:L9)</f>
        <v>9240</v>
      </c>
      <c r="M11" s="64"/>
      <c r="N11" s="54">
        <f t="shared" si="12"/>
        <v>4620</v>
      </c>
      <c r="O11" s="22">
        <f t="shared" si="12"/>
        <v>0</v>
      </c>
      <c r="P11" s="55">
        <f t="shared" si="12"/>
        <v>19760</v>
      </c>
      <c r="Q11" s="96">
        <f>SUM(Q3:Q10)</f>
        <v>111395</v>
      </c>
      <c r="R11" s="97">
        <f>SUM(R3:R10)</f>
        <v>8424.75</v>
      </c>
      <c r="S11" s="98"/>
      <c r="T11" s="98"/>
      <c r="U11" s="97">
        <f>SUM(U3:U10)</f>
        <v>26694.919999999991</v>
      </c>
      <c r="V11" s="97">
        <f t="shared" ref="V11:AA11" si="13">SUM(V3:V10)</f>
        <v>20788.389999999996</v>
      </c>
      <c r="W11" s="97">
        <f t="shared" si="13"/>
        <v>131410.01</v>
      </c>
      <c r="X11" s="97">
        <f t="shared" si="13"/>
        <v>62250</v>
      </c>
      <c r="Y11" s="97">
        <f t="shared" si="13"/>
        <v>72288.760000000009</v>
      </c>
      <c r="Z11" s="97">
        <f t="shared" si="13"/>
        <v>16000</v>
      </c>
      <c r="AA11" s="97">
        <f t="shared" si="13"/>
        <v>4400</v>
      </c>
      <c r="AB11" s="98"/>
      <c r="AC11" s="98"/>
      <c r="AD11" s="97">
        <f>SUM(AD3:AD10)</f>
        <v>244320</v>
      </c>
      <c r="AE11" s="98">
        <f>SUM(AE3:AE10)</f>
        <v>22079.999999999996</v>
      </c>
    </row>
    <row r="13" spans="1:31" x14ac:dyDescent="0.25">
      <c r="B13" t="s">
        <v>218</v>
      </c>
      <c r="C13">
        <f>8424.75</f>
        <v>8424.75</v>
      </c>
    </row>
    <row r="14" spans="1:31" x14ac:dyDescent="0.25">
      <c r="B14" t="s">
        <v>224</v>
      </c>
      <c r="C14">
        <f>26694.92</f>
        <v>26694.92</v>
      </c>
    </row>
    <row r="15" spans="1:31" x14ac:dyDescent="0.25">
      <c r="B15" t="s">
        <v>225</v>
      </c>
      <c r="C15">
        <f>20788.39</f>
        <v>20788.39</v>
      </c>
    </row>
    <row r="16" spans="1:31" x14ac:dyDescent="0.25">
      <c r="B16" t="s">
        <v>226</v>
      </c>
      <c r="C16">
        <f>131410.01</f>
        <v>131410.01</v>
      </c>
    </row>
    <row r="17" spans="2:9" x14ac:dyDescent="0.25">
      <c r="B17" t="s">
        <v>241</v>
      </c>
      <c r="C17">
        <v>244320</v>
      </c>
    </row>
    <row r="18" spans="2:9" x14ac:dyDescent="0.25">
      <c r="B18" t="s">
        <v>242</v>
      </c>
      <c r="C18">
        <v>22080</v>
      </c>
    </row>
    <row r="19" spans="2:9" ht="15.75" thickBot="1" x14ac:dyDescent="0.3"/>
    <row r="20" spans="2:9" x14ac:dyDescent="0.25">
      <c r="D20" s="85"/>
      <c r="E20" s="86">
        <v>79</v>
      </c>
      <c r="F20" s="86">
        <f>E20*144</f>
        <v>11376</v>
      </c>
      <c r="G20" s="87"/>
      <c r="H20" s="105"/>
      <c r="I20" s="100"/>
    </row>
    <row r="21" spans="2:9" ht="30.75" thickBot="1" x14ac:dyDescent="0.3">
      <c r="D21" s="88" t="s">
        <v>236</v>
      </c>
      <c r="E21" s="89">
        <v>1776.4</v>
      </c>
      <c r="F21" s="89">
        <f>6204*2.2*12</f>
        <v>163785.60000000001</v>
      </c>
      <c r="G21" s="90">
        <f>F21/E21</f>
        <v>92.200855663138938</v>
      </c>
      <c r="H21" s="106"/>
      <c r="I21" s="101">
        <f>460/G21</f>
        <v>4.9891077115448486</v>
      </c>
    </row>
    <row r="22" spans="2:9" ht="22.5" customHeight="1" x14ac:dyDescent="0.25">
      <c r="E22">
        <f>F22/G21</f>
        <v>1712.261766602192</v>
      </c>
      <c r="F22">
        <f>13156*12</f>
        <v>157872</v>
      </c>
      <c r="G22" s="58">
        <f>F22/E22</f>
        <v>92.200855663138938</v>
      </c>
    </row>
    <row r="23" spans="2:9" x14ac:dyDescent="0.25">
      <c r="C23" t="s">
        <v>239</v>
      </c>
      <c r="D23" t="s">
        <v>232</v>
      </c>
      <c r="E23">
        <f>E21-E22</f>
        <v>64.138233397808108</v>
      </c>
    </row>
    <row r="24" spans="2:9" x14ac:dyDescent="0.25">
      <c r="C24" t="s">
        <v>239</v>
      </c>
      <c r="D24" t="s">
        <v>237</v>
      </c>
      <c r="E24">
        <f>E23/4</f>
        <v>16.034558349452027</v>
      </c>
    </row>
    <row r="25" spans="2:9" x14ac:dyDescent="0.25">
      <c r="C25" t="s">
        <v>239</v>
      </c>
      <c r="D25" t="s">
        <v>238</v>
      </c>
      <c r="E25">
        <f>E24/4</f>
        <v>4.0086395873630067</v>
      </c>
    </row>
  </sheetData>
  <mergeCells count="24">
    <mergeCell ref="AA1:AA2"/>
    <mergeCell ref="AB1:AB2"/>
    <mergeCell ref="AC1:AC2"/>
    <mergeCell ref="AD1:AD2"/>
    <mergeCell ref="AE1:AE2"/>
    <mergeCell ref="U1:U2"/>
    <mergeCell ref="V1:V2"/>
    <mergeCell ref="W1:W2"/>
    <mergeCell ref="X1:X2"/>
    <mergeCell ref="Z1:Z2"/>
    <mergeCell ref="Y1:Y2"/>
    <mergeCell ref="E1:P1"/>
    <mergeCell ref="R1:R2"/>
    <mergeCell ref="S1:S2"/>
    <mergeCell ref="T1:T2"/>
    <mergeCell ref="A9:B9"/>
    <mergeCell ref="A11:B11"/>
    <mergeCell ref="A10:B10"/>
    <mergeCell ref="A3:B3"/>
    <mergeCell ref="A4:B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G9" sqref="G9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A1" s="442" t="s">
        <v>332</v>
      </c>
      <c r="B1" s="442"/>
      <c r="C1" t="s">
        <v>165</v>
      </c>
      <c r="D1" t="s">
        <v>166</v>
      </c>
      <c r="E1" s="122" t="s">
        <v>456</v>
      </c>
      <c r="F1" s="122" t="s">
        <v>231</v>
      </c>
      <c r="G1" s="122" t="s">
        <v>455</v>
      </c>
      <c r="H1" s="122" t="s">
        <v>457</v>
      </c>
      <c r="I1" s="122"/>
      <c r="K1" s="162"/>
      <c r="L1" s="162"/>
      <c r="M1" s="162"/>
    </row>
    <row r="2" spans="1:13" ht="33" customHeight="1" x14ac:dyDescent="0.3">
      <c r="A2" s="441" t="s">
        <v>164</v>
      </c>
      <c r="B2" s="441"/>
      <c r="C2" s="33">
        <f>'[1]ВОДОСНАБЖЕНИЕ 2016'!$C$12</f>
        <v>681438.71082000004</v>
      </c>
      <c r="D2" s="31">
        <f>C2/$C$9*100</f>
        <v>8.0021345905001553</v>
      </c>
      <c r="E2" s="284">
        <f>D2*$E$9/100</f>
        <v>53186.703693440373</v>
      </c>
      <c r="F2" s="284">
        <f>C2</f>
        <v>681438.71082000004</v>
      </c>
      <c r="G2" s="284">
        <f>D2*$G$9/100</f>
        <v>458048.06312851259</v>
      </c>
      <c r="H2" s="10">
        <f>E2+F2-G2</f>
        <v>276577.35138492787</v>
      </c>
      <c r="I2" s="10"/>
      <c r="J2" s="10"/>
      <c r="K2" s="65"/>
      <c r="L2" s="10"/>
      <c r="M2" s="10"/>
    </row>
    <row r="3" spans="1:13" ht="27" customHeight="1" x14ac:dyDescent="0.3">
      <c r="A3" s="441" t="s">
        <v>112</v>
      </c>
      <c r="B3" s="441"/>
      <c r="C3" s="33">
        <f>'[1]ВОДОСНАБЖЕНИЕ 2016'!$C$22</f>
        <v>853306.55524000013</v>
      </c>
      <c r="D3" s="31">
        <f t="shared" ref="D3:D8" si="0">C3/$C$9*100</f>
        <v>10.020378639437473</v>
      </c>
      <c r="E3" s="284">
        <f t="shared" ref="E3:E8" si="1">D3*$E$9/100</f>
        <v>66601.092941443392</v>
      </c>
      <c r="F3" s="284">
        <f t="shared" ref="F3:F8" si="2">C3</f>
        <v>853306.55524000013</v>
      </c>
      <c r="G3" s="284">
        <f t="shared" ref="G3:G8" si="3">D3*$G$9/100</f>
        <v>573573.83529358741</v>
      </c>
      <c r="H3" s="10">
        <f t="shared" ref="H3:H8" si="4">E3+F3-G3</f>
        <v>346333.81288785615</v>
      </c>
      <c r="I3" s="10"/>
      <c r="J3" s="10"/>
      <c r="K3" s="65"/>
      <c r="L3" s="10"/>
      <c r="M3" s="10"/>
    </row>
    <row r="4" spans="1:13" ht="30.75" customHeight="1" x14ac:dyDescent="0.3">
      <c r="A4" s="441" t="s">
        <v>115</v>
      </c>
      <c r="B4" s="441"/>
      <c r="C4" s="33">
        <f>'[1]ВОДОСНАБЖЕНИЕ 2016'!$C$32</f>
        <v>441208.84632440004</v>
      </c>
      <c r="D4" s="31">
        <f t="shared" si="0"/>
        <v>5.1811153589420167</v>
      </c>
      <c r="E4" s="284">
        <f t="shared" si="1"/>
        <v>34436.617415148765</v>
      </c>
      <c r="F4" s="284">
        <f t="shared" si="2"/>
        <v>441208.84632440004</v>
      </c>
      <c r="G4" s="284">
        <f t="shared" si="3"/>
        <v>296570.84971129528</v>
      </c>
      <c r="H4" s="10">
        <f t="shared" si="4"/>
        <v>179074.61402825353</v>
      </c>
      <c r="I4" s="10"/>
      <c r="J4" s="10"/>
      <c r="K4" s="65"/>
      <c r="L4" s="10"/>
      <c r="M4" s="10"/>
    </row>
    <row r="5" spans="1:13" ht="26.25" customHeight="1" x14ac:dyDescent="0.3">
      <c r="A5" s="441" t="s">
        <v>116</v>
      </c>
      <c r="B5" s="441"/>
      <c r="C5" s="33">
        <f>'[1]ВОДОСНАБЖЕНИЕ 2016'!$C$41</f>
        <v>894539.70283600013</v>
      </c>
      <c r="D5" s="31">
        <f t="shared" si="0"/>
        <v>10.504579480120716</v>
      </c>
      <c r="E5" s="284">
        <f t="shared" si="1"/>
        <v>69819.365059998803</v>
      </c>
      <c r="F5" s="284">
        <f t="shared" si="2"/>
        <v>894539.70283600013</v>
      </c>
      <c r="G5" s="284">
        <f t="shared" si="3"/>
        <v>601289.84715665388</v>
      </c>
      <c r="H5" s="10">
        <f t="shared" si="4"/>
        <v>363069.22073934507</v>
      </c>
      <c r="I5" s="10"/>
      <c r="J5" s="10"/>
      <c r="K5" s="65"/>
      <c r="L5" s="10"/>
      <c r="M5" s="10"/>
    </row>
    <row r="6" spans="1:13" ht="28.5" customHeight="1" x14ac:dyDescent="0.3">
      <c r="A6" s="441" t="s">
        <v>155</v>
      </c>
      <c r="B6" s="441"/>
      <c r="C6" s="33">
        <f>'[1]ВОДОСНАБЖЕНИЕ 2016'!$C$72</f>
        <v>1171783.6220251999</v>
      </c>
      <c r="D6" s="31">
        <f t="shared" si="0"/>
        <v>13.76025474558967</v>
      </c>
      <c r="E6" s="284">
        <f t="shared" si="1"/>
        <v>91458.420702992822</v>
      </c>
      <c r="F6" s="284">
        <f t="shared" si="2"/>
        <v>1171783.6220251999</v>
      </c>
      <c r="G6" s="284">
        <f t="shared" si="3"/>
        <v>787647.09129671438</v>
      </c>
      <c r="H6" s="10">
        <f t="shared" si="4"/>
        <v>475594.95143147826</v>
      </c>
      <c r="I6" s="10"/>
      <c r="J6" s="10"/>
      <c r="K6" s="65"/>
      <c r="L6" s="10"/>
      <c r="M6" s="10"/>
    </row>
    <row r="7" spans="1:13" ht="26.25" customHeight="1" x14ac:dyDescent="0.3">
      <c r="A7" s="441" t="s">
        <v>154</v>
      </c>
      <c r="B7" s="441"/>
      <c r="C7" s="33">
        <f>'[1]ВОДОСНАБЖЕНИЕ 2016'!$C$62</f>
        <v>666139.12909440009</v>
      </c>
      <c r="D7" s="31">
        <f t="shared" si="0"/>
        <v>7.8224716065770918</v>
      </c>
      <c r="E7" s="284">
        <f t="shared" si="1"/>
        <v>51992.562082533259</v>
      </c>
      <c r="F7" s="284">
        <f t="shared" si="2"/>
        <v>666139.12909440009</v>
      </c>
      <c r="G7" s="284">
        <f>D7*$G$9/100</f>
        <v>447764.02193036216</v>
      </c>
      <c r="H7" s="10">
        <f t="shared" si="4"/>
        <v>270367.6692465712</v>
      </c>
      <c r="I7" s="10"/>
      <c r="J7" s="10"/>
      <c r="K7" s="65"/>
      <c r="L7" s="10"/>
      <c r="M7" s="10"/>
    </row>
    <row r="8" spans="1:13" ht="33" customHeight="1" x14ac:dyDescent="0.3">
      <c r="A8" s="441" t="s">
        <v>158</v>
      </c>
      <c r="B8" s="441"/>
      <c r="C8" s="33">
        <f>'[1]ВОДОСНАБЖЕНИЕ 2016'!$C$52</f>
        <v>3807295.1242503994</v>
      </c>
      <c r="D8" s="31">
        <f t="shared" si="0"/>
        <v>44.709065578832877</v>
      </c>
      <c r="E8" s="284">
        <f t="shared" si="1"/>
        <v>297161.68810444255</v>
      </c>
      <c r="F8" s="284">
        <f t="shared" si="2"/>
        <v>3807295.1242503994</v>
      </c>
      <c r="G8" s="284">
        <f t="shared" si="3"/>
        <v>2559179.7614828749</v>
      </c>
      <c r="H8" s="10">
        <f t="shared" si="4"/>
        <v>1545277.0508719673</v>
      </c>
      <c r="I8" s="10"/>
      <c r="J8" s="10"/>
      <c r="K8" s="65"/>
      <c r="L8" s="10"/>
      <c r="M8" s="10"/>
    </row>
    <row r="9" spans="1:13" ht="30.75" customHeight="1" x14ac:dyDescent="0.25">
      <c r="A9" s="440" t="s">
        <v>169</v>
      </c>
      <c r="B9" s="440"/>
      <c r="C9" s="176">
        <f>SUM(C2:C8)</f>
        <v>8515711.6905904002</v>
      </c>
      <c r="D9" s="177">
        <f>SUM(D2:D8)</f>
        <v>100</v>
      </c>
      <c r="E9" s="285">
        <f>664656.45</f>
        <v>664656.44999999995</v>
      </c>
      <c r="F9" s="285">
        <f>SUM(F2:F8)</f>
        <v>8515711.6905904002</v>
      </c>
      <c r="G9" s="285">
        <f>(500000+14280282.47)-9056209</f>
        <v>5724073.4700000007</v>
      </c>
      <c r="H9" s="10">
        <f>SUM(H2:H8)</f>
        <v>3456294.6705903993</v>
      </c>
      <c r="J9" s="10"/>
      <c r="L9" s="10"/>
      <c r="M9" s="10"/>
    </row>
    <row r="12" spans="1:13" ht="45" x14ac:dyDescent="0.25">
      <c r="A12" s="442" t="s">
        <v>342</v>
      </c>
      <c r="B12" s="442"/>
      <c r="C12" t="s">
        <v>165</v>
      </c>
      <c r="D12" t="s">
        <v>166</v>
      </c>
      <c r="E12" s="122" t="s">
        <v>456</v>
      </c>
      <c r="F12" s="122" t="s">
        <v>231</v>
      </c>
      <c r="G12" s="122" t="s">
        <v>455</v>
      </c>
      <c r="H12" s="122" t="s">
        <v>458</v>
      </c>
      <c r="I12" s="122"/>
      <c r="J12" t="s">
        <v>450</v>
      </c>
      <c r="K12" s="162" t="s">
        <v>451</v>
      </c>
      <c r="L12" s="162" t="s">
        <v>452</v>
      </c>
      <c r="M12" s="162" t="s">
        <v>453</v>
      </c>
    </row>
    <row r="13" spans="1:13" ht="28.5" customHeight="1" x14ac:dyDescent="0.3">
      <c r="A13" s="441" t="s">
        <v>164</v>
      </c>
      <c r="B13" s="441"/>
      <c r="C13" s="274">
        <f>'[1]ВОДООТВЕДЕНИЕ 2016'!$C$12</f>
        <v>673190.09437279985</v>
      </c>
      <c r="D13" s="31">
        <f>C13/$C$20*100</f>
        <v>7.4334649917930982</v>
      </c>
      <c r="E13" s="284">
        <f>D13*$E$20/100</f>
        <v>0</v>
      </c>
      <c r="F13" s="284">
        <f>C13</f>
        <v>673190.09437279985</v>
      </c>
      <c r="G13" s="284">
        <f t="shared" ref="G13:G19" si="5">F13</f>
        <v>673190.09437279985</v>
      </c>
      <c r="H13" s="10">
        <f>D13*$H$20/100</f>
        <v>0</v>
      </c>
      <c r="I13" s="10">
        <f>E13+F13-G13</f>
        <v>0</v>
      </c>
      <c r="J13" s="10">
        <f>D13*$J$9/100</f>
        <v>0</v>
      </c>
      <c r="K13" s="65">
        <f>D13*$K$9/100</f>
        <v>0</v>
      </c>
      <c r="L13" s="10">
        <f>D13*$L$9/100</f>
        <v>0</v>
      </c>
      <c r="M13" s="10">
        <f>D13*$M$9/100</f>
        <v>0</v>
      </c>
    </row>
    <row r="14" spans="1:13" ht="25.5" customHeight="1" x14ac:dyDescent="0.3">
      <c r="A14" s="441" t="s">
        <v>112</v>
      </c>
      <c r="B14" s="441"/>
      <c r="C14" s="274">
        <f>'[1]ВОДООТВЕДЕНИЕ 2016'!$C$21</f>
        <v>872346.61827759992</v>
      </c>
      <c r="D14" s="31">
        <f t="shared" ref="D14:D19" si="6">C14/$C$20*100</f>
        <v>9.6325809037894299</v>
      </c>
      <c r="E14" s="284">
        <f t="shared" ref="E14:E19" si="7">D14*$E$20/100</f>
        <v>0</v>
      </c>
      <c r="F14" s="284">
        <f t="shared" ref="F14:F19" si="8">C14</f>
        <v>872346.61827759992</v>
      </c>
      <c r="G14" s="284">
        <f t="shared" si="5"/>
        <v>872346.61827759992</v>
      </c>
      <c r="H14" s="10">
        <f t="shared" ref="H14:H19" si="9">D14*$H$20/100</f>
        <v>0</v>
      </c>
      <c r="I14" s="10">
        <f t="shared" ref="I14:I19" si="10">E14+F14-G14</f>
        <v>0</v>
      </c>
      <c r="J14" s="10">
        <f t="shared" ref="J14:J19" si="11">D14*$J$9/100</f>
        <v>0</v>
      </c>
      <c r="K14" s="65">
        <f t="shared" ref="K14:K19" si="12">D14*$K$9/100</f>
        <v>0</v>
      </c>
      <c r="L14" s="10">
        <f t="shared" ref="L14:L19" si="13">D14*$L$9/100</f>
        <v>0</v>
      </c>
      <c r="M14" s="10">
        <f t="shared" ref="M14:M19" si="14">D14*$M$9/100</f>
        <v>0</v>
      </c>
    </row>
    <row r="15" spans="1:13" ht="28.5" customHeight="1" x14ac:dyDescent="0.3">
      <c r="A15" s="441" t="s">
        <v>115</v>
      </c>
      <c r="B15" s="441"/>
      <c r="C15" s="274">
        <f>'[1]ВОДООТВЕДЕНИЕ 2016'!$C$30</f>
        <v>537215.43536719994</v>
      </c>
      <c r="D15" s="31">
        <f t="shared" si="6"/>
        <v>5.9320126146144911</v>
      </c>
      <c r="E15" s="284">
        <f t="shared" si="7"/>
        <v>0</v>
      </c>
      <c r="F15" s="284">
        <f t="shared" si="8"/>
        <v>537215.43536719994</v>
      </c>
      <c r="G15" s="284">
        <f t="shared" si="5"/>
        <v>537215.43536719994</v>
      </c>
      <c r="H15" s="10">
        <f t="shared" si="9"/>
        <v>0</v>
      </c>
      <c r="I15" s="10">
        <f t="shared" si="10"/>
        <v>0</v>
      </c>
      <c r="J15" s="10">
        <f t="shared" si="11"/>
        <v>0</v>
      </c>
      <c r="K15" s="65">
        <f t="shared" si="12"/>
        <v>0</v>
      </c>
      <c r="L15" s="10">
        <f t="shared" si="13"/>
        <v>0</v>
      </c>
      <c r="M15" s="10">
        <f t="shared" si="14"/>
        <v>0</v>
      </c>
    </row>
    <row r="16" spans="1:13" ht="27" customHeight="1" x14ac:dyDescent="0.3">
      <c r="A16" s="441" t="s">
        <v>116</v>
      </c>
      <c r="B16" s="441"/>
      <c r="C16" s="274">
        <f>'[1]ВОДООТВЕДЕНИЕ 2016'!$C$39</f>
        <v>916951.32291059988</v>
      </c>
      <c r="D16" s="31">
        <f t="shared" si="6"/>
        <v>10.125112676211888</v>
      </c>
      <c r="E16" s="284">
        <f t="shared" si="7"/>
        <v>0</v>
      </c>
      <c r="F16" s="284">
        <f t="shared" si="8"/>
        <v>916951.32291059988</v>
      </c>
      <c r="G16" s="284">
        <f t="shared" si="5"/>
        <v>916951.32291059988</v>
      </c>
      <c r="H16" s="10">
        <f t="shared" si="9"/>
        <v>0</v>
      </c>
      <c r="I16" s="10">
        <f t="shared" si="10"/>
        <v>0</v>
      </c>
      <c r="J16" s="10">
        <f t="shared" si="11"/>
        <v>0</v>
      </c>
      <c r="K16" s="65">
        <f t="shared" si="12"/>
        <v>0</v>
      </c>
      <c r="L16" s="10">
        <f t="shared" si="13"/>
        <v>0</v>
      </c>
      <c r="M16" s="10">
        <f t="shared" si="14"/>
        <v>0</v>
      </c>
    </row>
    <row r="17" spans="1:13" ht="28.5" customHeight="1" x14ac:dyDescent="0.3">
      <c r="A17" s="441" t="s">
        <v>155</v>
      </c>
      <c r="B17" s="441"/>
      <c r="C17" s="274">
        <f>'[1]ВОДООТВЕДЕНИЕ 2016'!$C$66</f>
        <v>1133852.8821844</v>
      </c>
      <c r="D17" s="31">
        <f t="shared" si="6"/>
        <v>12.520171903916818</v>
      </c>
      <c r="E17" s="284">
        <f t="shared" si="7"/>
        <v>0</v>
      </c>
      <c r="F17" s="284">
        <f t="shared" si="8"/>
        <v>1133852.8821844</v>
      </c>
      <c r="G17" s="284">
        <f t="shared" si="5"/>
        <v>1133852.8821844</v>
      </c>
      <c r="H17" s="10">
        <f t="shared" si="9"/>
        <v>0</v>
      </c>
      <c r="I17" s="10">
        <f t="shared" si="10"/>
        <v>0</v>
      </c>
      <c r="J17" s="10">
        <f t="shared" si="11"/>
        <v>0</v>
      </c>
      <c r="K17" s="65">
        <f t="shared" si="12"/>
        <v>0</v>
      </c>
      <c r="L17" s="10">
        <f t="shared" si="13"/>
        <v>0</v>
      </c>
      <c r="M17" s="10">
        <f t="shared" si="14"/>
        <v>0</v>
      </c>
    </row>
    <row r="18" spans="1:13" ht="24" customHeight="1" x14ac:dyDescent="0.3">
      <c r="A18" s="441" t="s">
        <v>154</v>
      </c>
      <c r="B18" s="441"/>
      <c r="C18" s="274">
        <f>'[1]ВОДООТВЕДЕНИЕ 2016'!$C$57</f>
        <v>811417.82474199997</v>
      </c>
      <c r="D18" s="31">
        <f t="shared" si="6"/>
        <v>8.9597961175530205</v>
      </c>
      <c r="E18" s="284">
        <f t="shared" si="7"/>
        <v>0</v>
      </c>
      <c r="F18" s="284">
        <f t="shared" si="8"/>
        <v>811417.82474199997</v>
      </c>
      <c r="G18" s="284">
        <f t="shared" si="5"/>
        <v>811417.82474199997</v>
      </c>
      <c r="H18" s="10">
        <f t="shared" si="9"/>
        <v>0</v>
      </c>
      <c r="I18" s="10">
        <f t="shared" si="10"/>
        <v>0</v>
      </c>
      <c r="J18" s="10">
        <f t="shared" si="11"/>
        <v>0</v>
      </c>
      <c r="K18" s="65">
        <f t="shared" si="12"/>
        <v>0</v>
      </c>
      <c r="L18" s="10">
        <f t="shared" si="13"/>
        <v>0</v>
      </c>
      <c r="M18" s="10">
        <f t="shared" si="14"/>
        <v>0</v>
      </c>
    </row>
    <row r="19" spans="1:13" ht="22.5" customHeight="1" x14ac:dyDescent="0.3">
      <c r="A19" s="441" t="s">
        <v>158</v>
      </c>
      <c r="B19" s="441"/>
      <c r="C19" s="274">
        <f>'[1]ВОДООТВЕДЕНИЕ 2016'!$C$48</f>
        <v>4111234.4020745996</v>
      </c>
      <c r="D19" s="31">
        <f t="shared" si="6"/>
        <v>45.396860792121259</v>
      </c>
      <c r="E19" s="284">
        <f t="shared" si="7"/>
        <v>0</v>
      </c>
      <c r="F19" s="284">
        <f t="shared" si="8"/>
        <v>4111234.4020745996</v>
      </c>
      <c r="G19" s="284">
        <f t="shared" si="5"/>
        <v>4111234.4020745996</v>
      </c>
      <c r="H19" s="10">
        <f t="shared" si="9"/>
        <v>0</v>
      </c>
      <c r="I19" s="10">
        <f t="shared" si="10"/>
        <v>0</v>
      </c>
      <c r="J19" s="10">
        <f t="shared" si="11"/>
        <v>0</v>
      </c>
      <c r="K19" s="65">
        <f t="shared" si="12"/>
        <v>0</v>
      </c>
      <c r="L19" s="10">
        <f t="shared" si="13"/>
        <v>0</v>
      </c>
      <c r="M19" s="10">
        <f t="shared" si="14"/>
        <v>0</v>
      </c>
    </row>
    <row r="20" spans="1:13" ht="18" customHeight="1" x14ac:dyDescent="0.25">
      <c r="A20" s="440" t="s">
        <v>169</v>
      </c>
      <c r="B20" s="440"/>
      <c r="C20" s="176">
        <f>SUM(C13:C19)</f>
        <v>9056208.5799291991</v>
      </c>
      <c r="D20" s="177">
        <f>SUM(D13:D19)</f>
        <v>100</v>
      </c>
      <c r="E20" s="285">
        <v>0</v>
      </c>
      <c r="F20" s="285">
        <f>SUM(F13:F19)</f>
        <v>9056208.5799291991</v>
      </c>
      <c r="G20" s="285">
        <f>SUM(G13:G19)</f>
        <v>9056208.5799291991</v>
      </c>
      <c r="H20" s="10">
        <v>0</v>
      </c>
      <c r="J20" s="10">
        <f>1033805.33+38376908.22</f>
        <v>39410713.549999997</v>
      </c>
      <c r="K20">
        <f>1600000+19027459.32</f>
        <v>20627459.32</v>
      </c>
      <c r="L20" s="10">
        <f>(500000+14280282.47)*0.515</f>
        <v>7611845.4720500009</v>
      </c>
      <c r="M20" s="10">
        <f>(500000+14280282.47)*0.485</f>
        <v>7168436.9979499998</v>
      </c>
    </row>
  </sheetData>
  <mergeCells count="18">
    <mergeCell ref="A6:B6"/>
    <mergeCell ref="A1:B1"/>
    <mergeCell ref="A2:B2"/>
    <mergeCell ref="A3:B3"/>
    <mergeCell ref="A4:B4"/>
    <mergeCell ref="A5:B5"/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12"/>
  <sheetViews>
    <sheetView workbookViewId="0">
      <selection activeCell="K26" sqref="K26"/>
    </sheetView>
  </sheetViews>
  <sheetFormatPr defaultRowHeight="15" x14ac:dyDescent="0.25"/>
  <cols>
    <col min="1" max="1" width="10.140625" bestFit="1" customWidth="1"/>
    <col min="2" max="2" width="21" customWidth="1"/>
    <col min="3" max="3" width="13.85546875" customWidth="1"/>
    <col min="4" max="4" width="12.28515625" customWidth="1"/>
    <col min="6" max="6" width="11.140625" customWidth="1"/>
    <col min="7" max="7" width="10.140625" customWidth="1"/>
  </cols>
  <sheetData>
    <row r="1" spans="1:7" x14ac:dyDescent="0.25">
      <c r="A1" s="442" t="s">
        <v>246</v>
      </c>
      <c r="B1" s="442"/>
      <c r="C1" s="442"/>
      <c r="D1" s="442"/>
      <c r="E1" t="s">
        <v>209</v>
      </c>
      <c r="F1" t="s">
        <v>211</v>
      </c>
      <c r="G1" t="s">
        <v>233</v>
      </c>
    </row>
    <row r="2" spans="1:7" ht="21.75" customHeight="1" x14ac:dyDescent="0.3">
      <c r="A2" s="441" t="s">
        <v>164</v>
      </c>
      <c r="B2" s="441"/>
      <c r="C2" s="30">
        <v>9334.5</v>
      </c>
      <c r="D2" s="31">
        <f>C2*100/$C$9</f>
        <v>6.7421305695978981</v>
      </c>
      <c r="E2" s="65">
        <f>D2*$C$12/100</f>
        <v>2066.4171730938824</v>
      </c>
      <c r="F2" s="65">
        <f>D2*$C$11/100</f>
        <v>1722.0143109115688</v>
      </c>
      <c r="G2" s="65">
        <f>SUM(E2:F2)</f>
        <v>3788.4314840054512</v>
      </c>
    </row>
    <row r="3" spans="1:7" ht="22.5" customHeight="1" x14ac:dyDescent="0.3">
      <c r="A3" s="441" t="s">
        <v>112</v>
      </c>
      <c r="B3" s="441"/>
      <c r="C3" s="33">
        <f>'[2]весь фонд'!$E$338</f>
        <v>13645.580000000009</v>
      </c>
      <c r="D3" s="31">
        <f t="shared" ref="D3:D8" si="0">C3*100/$C$9</f>
        <v>9.8559410849958482</v>
      </c>
      <c r="E3" s="65">
        <f t="shared" ref="E3:E8" si="1">D3*$C$12/100</f>
        <v>3020.7789221518492</v>
      </c>
      <c r="F3" s="65">
        <f t="shared" ref="F3:F8" si="2">D3*$C$11/100</f>
        <v>2517.3157684598746</v>
      </c>
      <c r="G3" s="65">
        <f t="shared" ref="G3:G8" si="3">SUM(E3:F3)</f>
        <v>5538.0946906117242</v>
      </c>
    </row>
    <row r="4" spans="1:7" ht="18.75" x14ac:dyDescent="0.3">
      <c r="A4" s="441" t="s">
        <v>115</v>
      </c>
      <c r="B4" s="441"/>
      <c r="C4" s="33">
        <f>'[2]весь фонд'!$E$444</f>
        <v>8511.3000000000011</v>
      </c>
      <c r="D4" s="31">
        <f t="shared" si="0"/>
        <v>6.1475489760585571</v>
      </c>
      <c r="E4" s="65">
        <f t="shared" si="1"/>
        <v>1884.1819578289108</v>
      </c>
      <c r="F4" s="65">
        <f t="shared" si="2"/>
        <v>1570.151631524092</v>
      </c>
      <c r="G4" s="65">
        <f t="shared" si="3"/>
        <v>3454.3335893530029</v>
      </c>
    </row>
    <row r="5" spans="1:7" ht="18.75" x14ac:dyDescent="0.3">
      <c r="A5" s="441" t="s">
        <v>116</v>
      </c>
      <c r="B5" s="441"/>
      <c r="C5" s="33">
        <f>'[2]весь фонд'!$E$614</f>
        <v>12525.500000000004</v>
      </c>
      <c r="D5" s="31">
        <f t="shared" si="0"/>
        <v>9.0469287534949387</v>
      </c>
      <c r="E5" s="65">
        <f t="shared" si="1"/>
        <v>2772.822143830675</v>
      </c>
      <c r="F5" s="65">
        <f t="shared" si="2"/>
        <v>2310.6851198588956</v>
      </c>
      <c r="G5" s="65">
        <f t="shared" si="3"/>
        <v>5083.5072636895711</v>
      </c>
    </row>
    <row r="6" spans="1:7" ht="18.75" x14ac:dyDescent="0.3">
      <c r="A6" s="441" t="s">
        <v>155</v>
      </c>
      <c r="B6" s="441"/>
      <c r="C6" s="33">
        <f>'[2]весь фонд'!$E$2149</f>
        <v>14849.000000000004</v>
      </c>
      <c r="D6" s="31">
        <f t="shared" si="0"/>
        <v>10.725148302314985</v>
      </c>
      <c r="E6" s="65">
        <f t="shared" si="1"/>
        <v>3287.1850236510868</v>
      </c>
      <c r="F6" s="65">
        <f t="shared" si="2"/>
        <v>2739.3208530425723</v>
      </c>
      <c r="G6" s="65">
        <f t="shared" si="3"/>
        <v>6026.505876693659</v>
      </c>
    </row>
    <row r="7" spans="1:7" ht="18.75" x14ac:dyDescent="0.3">
      <c r="A7" s="441" t="s">
        <v>154</v>
      </c>
      <c r="B7" s="441"/>
      <c r="C7" s="33">
        <f>'[2]весь фонд'!$E$1948</f>
        <v>11210.900000000001</v>
      </c>
      <c r="D7" s="31">
        <f t="shared" si="0"/>
        <v>8.0974183515673133</v>
      </c>
      <c r="E7" s="65">
        <f t="shared" si="1"/>
        <v>2481.8036623105909</v>
      </c>
      <c r="F7" s="65">
        <f t="shared" si="2"/>
        <v>2068.1697185921589</v>
      </c>
      <c r="G7" s="65">
        <f t="shared" si="3"/>
        <v>4549.9733809027493</v>
      </c>
    </row>
    <row r="8" spans="1:7" ht="18.75" x14ac:dyDescent="0.3">
      <c r="A8" s="441" t="s">
        <v>158</v>
      </c>
      <c r="B8" s="441"/>
      <c r="C8" s="33">
        <f>'[2]весь фонд'!$E$1536</f>
        <v>68373.51999999999</v>
      </c>
      <c r="D8" s="31">
        <f t="shared" si="0"/>
        <v>49.384883961970459</v>
      </c>
      <c r="E8" s="65">
        <f t="shared" si="1"/>
        <v>15136.131117133005</v>
      </c>
      <c r="F8" s="65">
        <f t="shared" si="2"/>
        <v>12613.442597610836</v>
      </c>
      <c r="G8" s="65">
        <f t="shared" si="3"/>
        <v>27749.573714743841</v>
      </c>
    </row>
    <row r="9" spans="1:7" ht="18.75" x14ac:dyDescent="0.3">
      <c r="A9" s="50"/>
      <c r="B9" s="50"/>
      <c r="C9" s="50">
        <f>SUM(C2:C8)</f>
        <v>138450.30000000002</v>
      </c>
      <c r="D9" s="52">
        <f>SUM(D2:D8)</f>
        <v>100</v>
      </c>
      <c r="E9" s="65">
        <f>SUM(E2:E8)</f>
        <v>30649.32</v>
      </c>
      <c r="F9" s="65">
        <f>SUM(F2:F8)</f>
        <v>25541.1</v>
      </c>
      <c r="G9" s="83">
        <f>SUM(G2:G8)</f>
        <v>56190.42</v>
      </c>
    </row>
    <row r="11" spans="1:7" x14ac:dyDescent="0.25">
      <c r="A11" s="51">
        <v>42338</v>
      </c>
      <c r="B11" t="s">
        <v>214</v>
      </c>
      <c r="C11">
        <v>25541.1</v>
      </c>
    </row>
    <row r="12" spans="1:7" x14ac:dyDescent="0.25">
      <c r="B12" t="s">
        <v>219</v>
      </c>
      <c r="C12">
        <f>30649.32</f>
        <v>30649.32</v>
      </c>
    </row>
  </sheetData>
  <mergeCells count="8">
    <mergeCell ref="A1:D1"/>
    <mergeCell ref="A8:B8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Z31"/>
  <sheetViews>
    <sheetView workbookViewId="0">
      <pane xSplit="4" ySplit="1" topLeftCell="K2" activePane="bottomRight" state="frozen"/>
      <selection pane="topRight" activeCell="E1" sqref="E1"/>
      <selection pane="bottomLeft" activeCell="A2" sqref="A2"/>
      <selection pane="bottomRight" sqref="A1:D9"/>
    </sheetView>
  </sheetViews>
  <sheetFormatPr defaultRowHeight="15" x14ac:dyDescent="0.25"/>
  <cols>
    <col min="1" max="1" width="10.140625" bestFit="1" customWidth="1"/>
    <col min="2" max="2" width="17.140625" customWidth="1"/>
    <col min="3" max="3" width="13.85546875" customWidth="1"/>
    <col min="4" max="4" width="12.28515625" customWidth="1"/>
    <col min="5" max="5" width="16.7109375" customWidth="1"/>
    <col min="6" max="6" width="13" customWidth="1"/>
    <col min="7" max="7" width="14" customWidth="1"/>
    <col min="8" max="8" width="13.5703125" customWidth="1"/>
    <col min="9" max="9" width="12.5703125" customWidth="1"/>
    <col min="10" max="10" width="12.140625" customWidth="1"/>
    <col min="11" max="11" width="11.28515625" customWidth="1"/>
    <col min="12" max="12" width="12.42578125" customWidth="1"/>
    <col min="13" max="13" width="13.28515625" customWidth="1"/>
    <col min="14" max="14" width="10.7109375" customWidth="1"/>
    <col min="15" max="15" width="12.140625" customWidth="1"/>
    <col min="16" max="16" width="10.5703125" customWidth="1"/>
    <col min="17" max="17" width="12.85546875" customWidth="1"/>
    <col min="18" max="18" width="11.5703125" customWidth="1"/>
    <col min="19" max="19" width="12.85546875" customWidth="1"/>
    <col min="20" max="20" width="9.42578125" customWidth="1"/>
    <col min="21" max="21" width="11.140625" customWidth="1"/>
    <col min="24" max="24" width="10.28515625" customWidth="1"/>
    <col min="25" max="25" width="11.5703125" customWidth="1"/>
    <col min="26" max="26" width="12.28515625" customWidth="1"/>
  </cols>
  <sheetData>
    <row r="1" spans="1:26" ht="76.5" customHeight="1" x14ac:dyDescent="0.25">
      <c r="A1" s="440" t="s">
        <v>280</v>
      </c>
      <c r="B1" s="440"/>
      <c r="C1" s="440"/>
      <c r="D1" s="440"/>
      <c r="E1" s="123" t="s">
        <v>260</v>
      </c>
      <c r="F1" s="5" t="s">
        <v>261</v>
      </c>
      <c r="G1" s="5" t="str">
        <f>A13</f>
        <v>канцтовары офис</v>
      </c>
      <c r="H1" s="5" t="str">
        <f>A14</f>
        <v>командировочные расходы</v>
      </c>
      <c r="I1" s="5" t="str">
        <f>A15</f>
        <v>материальные расходы (диспетчерская)</v>
      </c>
      <c r="J1" s="5" t="str">
        <f>A16</f>
        <v>медосмотр</v>
      </c>
      <c r="K1" s="37" t="s">
        <v>266</v>
      </c>
      <c r="L1" s="5" t="s">
        <v>267</v>
      </c>
      <c r="M1" s="5" t="s">
        <v>268</v>
      </c>
      <c r="N1" s="5" t="s">
        <v>270</v>
      </c>
      <c r="O1" s="5" t="str">
        <f>A21</f>
        <v>програмное обслуживание</v>
      </c>
      <c r="P1" s="4" t="str">
        <f>A22</f>
        <v>услуги банка</v>
      </c>
      <c r="Q1" s="124" t="s">
        <v>273</v>
      </c>
      <c r="R1" s="124" t="s">
        <v>274</v>
      </c>
      <c r="S1" s="4" t="str">
        <f>A25</f>
        <v>услуги связи</v>
      </c>
      <c r="T1" s="122" t="s">
        <v>281</v>
      </c>
      <c r="U1" s="1" t="s">
        <v>282</v>
      </c>
      <c r="X1" s="136" t="s">
        <v>287</v>
      </c>
      <c r="Y1" s="1" t="s">
        <v>288</v>
      </c>
      <c r="Z1" t="s">
        <v>289</v>
      </c>
    </row>
    <row r="2" spans="1:26" ht="21.75" customHeight="1" x14ac:dyDescent="0.3">
      <c r="A2" s="441" t="s">
        <v>164</v>
      </c>
      <c r="B2" s="441"/>
      <c r="C2" s="30">
        <v>9334.5</v>
      </c>
      <c r="D2" s="31">
        <f t="shared" ref="D2:D8" si="0">C2*100/$C$9</f>
        <v>6.7421305695978981</v>
      </c>
      <c r="E2" s="56">
        <f t="shared" ref="E2:E8" si="1">D2*$D$11/100</f>
        <v>1223.1148525138622</v>
      </c>
      <c r="F2" s="56">
        <f t="shared" ref="F2:F8" si="2">D2*$D$12/100</f>
        <v>48711.89066849259</v>
      </c>
      <c r="G2" s="56">
        <f t="shared" ref="G2:G8" si="3">D2*$D$13/100</f>
        <v>9449.6758165204392</v>
      </c>
      <c r="H2" s="56">
        <f t="shared" ref="H2:H8" si="4">$D$14*D2/100</f>
        <v>14972.729395602608</v>
      </c>
      <c r="I2" s="56">
        <f t="shared" ref="I2:I8" si="5">D2*$D$15/100</f>
        <v>6805.4910900518089</v>
      </c>
      <c r="J2" s="56">
        <f t="shared" ref="J2:J8" si="6">D2*$D$16/100</f>
        <v>212.7142194708137</v>
      </c>
      <c r="K2" s="56">
        <f t="shared" ref="K2:K8" si="7">D2*$D$17/100</f>
        <v>6589.0612824240898</v>
      </c>
      <c r="L2" s="56">
        <f t="shared" ref="L2:L8" si="8">D2*$D$18/100</f>
        <v>17768.817694869565</v>
      </c>
      <c r="M2" s="56">
        <f t="shared" ref="M2:M8" si="9">$D$19*D2/100</f>
        <v>2046.9108409299217</v>
      </c>
      <c r="N2" s="56">
        <f t="shared" ref="N2:N8" si="10">$D$20*D2/100</f>
        <v>1158.7093018216642</v>
      </c>
      <c r="O2" s="56">
        <f t="shared" ref="O2:O8" si="11">D2*$D$21/100</f>
        <v>5819.4093219732995</v>
      </c>
      <c r="P2" s="56">
        <f t="shared" ref="P2:P8" si="12">D2*$D$22/100</f>
        <v>6697.5138463405274</v>
      </c>
      <c r="Q2" s="56">
        <f t="shared" ref="Q2:Q8" si="13">$D$23*D2/100</f>
        <v>7072.6156516453902</v>
      </c>
      <c r="R2" s="56">
        <f t="shared" ref="R2:R8" si="14">$D$24*D2/100</f>
        <v>151924.7302782659</v>
      </c>
      <c r="S2" s="56">
        <f t="shared" ref="S2:S8" si="15">$D$25*D2/100</f>
        <v>13715.570154777561</v>
      </c>
      <c r="T2" s="10">
        <f>SUM(E2,P2,R2)</f>
        <v>159845.35897712028</v>
      </c>
      <c r="U2" s="10">
        <f>SUM(F2,G2,H2,I2,J2,K2,L2,M2,N2,O2,Q2,S2)</f>
        <v>134323.59543857977</v>
      </c>
      <c r="X2" s="137">
        <f>D2*$X$10/100</f>
        <v>112408.59820091679</v>
      </c>
      <c r="Y2" s="137">
        <f>D2*$Y$10/100</f>
        <v>718791.18132412806</v>
      </c>
      <c r="Z2" s="10">
        <f>SUM(X2:Y2)</f>
        <v>831199.77952504484</v>
      </c>
    </row>
    <row r="3" spans="1:26" ht="22.5" customHeight="1" x14ac:dyDescent="0.3">
      <c r="A3" s="441" t="s">
        <v>112</v>
      </c>
      <c r="B3" s="441"/>
      <c r="C3" s="33">
        <f>'[2]весь фонд'!$E$338</f>
        <v>13645.580000000009</v>
      </c>
      <c r="D3" s="31">
        <f t="shared" si="0"/>
        <v>9.8559410849958482</v>
      </c>
      <c r="E3" s="56">
        <f t="shared" si="1"/>
        <v>1788.0027392111112</v>
      </c>
      <c r="F3" s="56">
        <f t="shared" si="2"/>
        <v>71209.170396718575</v>
      </c>
      <c r="G3" s="56">
        <f t="shared" si="3"/>
        <v>13813.94904155499</v>
      </c>
      <c r="H3" s="56">
        <f t="shared" si="4"/>
        <v>21887.790110455531</v>
      </c>
      <c r="I3" s="56">
        <f t="shared" si="5"/>
        <v>9948.5642625303135</v>
      </c>
      <c r="J3" s="56">
        <f t="shared" si="6"/>
        <v>310.95494123161899</v>
      </c>
      <c r="K3" s="56">
        <f t="shared" si="7"/>
        <v>9632.1777121667546</v>
      </c>
      <c r="L3" s="56">
        <f t="shared" si="8"/>
        <v>25975.234170095708</v>
      </c>
      <c r="M3" s="56">
        <f t="shared" si="9"/>
        <v>2992.2637134047395</v>
      </c>
      <c r="N3" s="56">
        <f t="shared" si="10"/>
        <v>1693.8518908084714</v>
      </c>
      <c r="O3" s="56">
        <f t="shared" si="11"/>
        <v>8507.0668440444024</v>
      </c>
      <c r="P3" s="56">
        <f t="shared" si="12"/>
        <v>9790.7184092717798</v>
      </c>
      <c r="Q3" s="56">
        <f t="shared" si="13"/>
        <v>10339.058619506066</v>
      </c>
      <c r="R3" s="56">
        <f t="shared" si="14"/>
        <v>222090.20954421777</v>
      </c>
      <c r="S3" s="56">
        <f t="shared" si="15"/>
        <v>20050.019796735734</v>
      </c>
      <c r="T3" s="10">
        <f t="shared" ref="T3:T9" si="16">SUM(E3,P3,R3)</f>
        <v>233668.93069270067</v>
      </c>
      <c r="U3" s="10">
        <f t="shared" ref="U3:U8" si="17">SUM(F3,G3,H3,I3,J3,K3,L3,M3,N3,O3,Q3,S3)</f>
        <v>196360.10149925289</v>
      </c>
      <c r="X3" s="137">
        <f t="shared" ref="X3:X8" si="18">D3*$X$10/100</f>
        <v>164323.80089329553</v>
      </c>
      <c r="Y3" s="137">
        <f t="shared" ref="Y3:Y8" si="19">D3*$Y$10/100</f>
        <v>1050760.3586751195</v>
      </c>
      <c r="Z3" s="10">
        <f t="shared" ref="Z3:Z8" si="20">SUM(X3:Y3)</f>
        <v>1215084.159568415</v>
      </c>
    </row>
    <row r="4" spans="1:26" ht="18.75" x14ac:dyDescent="0.3">
      <c r="A4" s="441" t="s">
        <v>115</v>
      </c>
      <c r="B4" s="441"/>
      <c r="C4" s="33">
        <f>'[2]весь фонд'!$E$444</f>
        <v>8511.3000000000011</v>
      </c>
      <c r="D4" s="31">
        <f t="shared" si="0"/>
        <v>6.1475489760585571</v>
      </c>
      <c r="E4" s="56">
        <f t="shared" si="1"/>
        <v>1115.2496056779942</v>
      </c>
      <c r="F4" s="56">
        <f t="shared" si="2"/>
        <v>44416.038893003482</v>
      </c>
      <c r="G4" s="56">
        <f t="shared" si="3"/>
        <v>8616.318579158009</v>
      </c>
      <c r="H4" s="56">
        <f t="shared" si="4"/>
        <v>13652.299716620333</v>
      </c>
      <c r="I4" s="56">
        <f t="shared" si="5"/>
        <v>6205.3217970708629</v>
      </c>
      <c r="J4" s="56">
        <f t="shared" si="6"/>
        <v>193.95517019464748</v>
      </c>
      <c r="K4" s="56">
        <f t="shared" si="7"/>
        <v>6007.9787126355095</v>
      </c>
      <c r="L4" s="56">
        <f t="shared" si="8"/>
        <v>16201.803850912565</v>
      </c>
      <c r="M4" s="56">
        <f t="shared" si="9"/>
        <v>1866.3958691313778</v>
      </c>
      <c r="N4" s="56">
        <f t="shared" si="10"/>
        <v>1056.5239145743994</v>
      </c>
      <c r="O4" s="56">
        <f t="shared" si="11"/>
        <v>5306.2015707441597</v>
      </c>
      <c r="P4" s="56">
        <f t="shared" si="12"/>
        <v>6106.8669559545924</v>
      </c>
      <c r="Q4" s="56">
        <f t="shared" si="13"/>
        <v>6448.8889170120974</v>
      </c>
      <c r="R4" s="56">
        <f t="shared" si="14"/>
        <v>138526.64382852911</v>
      </c>
      <c r="S4" s="56">
        <f t="shared" si="15"/>
        <v>12506.008062387731</v>
      </c>
      <c r="T4" s="10">
        <f t="shared" si="16"/>
        <v>145748.76039016168</v>
      </c>
      <c r="U4" s="10">
        <f t="shared" si="17"/>
        <v>122477.73505344517</v>
      </c>
      <c r="X4" s="137">
        <f t="shared" si="18"/>
        <v>102495.39898949739</v>
      </c>
      <c r="Y4" s="137">
        <f t="shared" si="19"/>
        <v>655401.72281365399</v>
      </c>
      <c r="Z4" s="10">
        <f t="shared" si="20"/>
        <v>757897.12180315144</v>
      </c>
    </row>
    <row r="5" spans="1:26" ht="18.75" x14ac:dyDescent="0.3">
      <c r="A5" s="441" t="s">
        <v>116</v>
      </c>
      <c r="B5" s="441"/>
      <c r="C5" s="33">
        <f>'[2]весь фонд'!$E$614</f>
        <v>12525.500000000004</v>
      </c>
      <c r="D5" s="31">
        <f t="shared" si="0"/>
        <v>9.0469287534949387</v>
      </c>
      <c r="E5" s="56">
        <f t="shared" si="1"/>
        <v>1641.2368188079047</v>
      </c>
      <c r="F5" s="56">
        <f t="shared" si="2"/>
        <v>65364.05662522943</v>
      </c>
      <c r="G5" s="56">
        <f t="shared" si="3"/>
        <v>12680.048683895957</v>
      </c>
      <c r="H5" s="56">
        <f t="shared" si="4"/>
        <v>20091.15882421346</v>
      </c>
      <c r="I5" s="56">
        <f t="shared" si="5"/>
        <v>9131.9490758416578</v>
      </c>
      <c r="J5" s="56">
        <f t="shared" si="6"/>
        <v>285.4306021727653</v>
      </c>
      <c r="K5" s="56">
        <f t="shared" si="7"/>
        <v>8841.5327112328432</v>
      </c>
      <c r="L5" s="56">
        <f t="shared" si="8"/>
        <v>23843.090260548379</v>
      </c>
      <c r="M5" s="56">
        <f t="shared" si="9"/>
        <v>2746.6475695610634</v>
      </c>
      <c r="N5" s="56">
        <f t="shared" si="10"/>
        <v>1554.8142225043935</v>
      </c>
      <c r="O5" s="56">
        <f t="shared" si="11"/>
        <v>7808.7751312203754</v>
      </c>
      <c r="P5" s="56">
        <f t="shared" si="12"/>
        <v>8987.0597977758098</v>
      </c>
      <c r="Q5" s="56">
        <f t="shared" si="13"/>
        <v>9490.3902024408781</v>
      </c>
      <c r="R5" s="56">
        <f t="shared" si="14"/>
        <v>203860.21844773908</v>
      </c>
      <c r="S5" s="56">
        <f t="shared" si="15"/>
        <v>18404.23953866478</v>
      </c>
      <c r="T5" s="10">
        <f t="shared" si="16"/>
        <v>214488.5150643228</v>
      </c>
      <c r="U5" s="10">
        <f t="shared" si="17"/>
        <v>180242.13344752596</v>
      </c>
      <c r="X5" s="137">
        <f t="shared" si="18"/>
        <v>150835.49164557114</v>
      </c>
      <c r="Y5" s="137">
        <f t="shared" si="19"/>
        <v>964510.03713914717</v>
      </c>
      <c r="Z5" s="10">
        <f t="shared" si="20"/>
        <v>1115345.5287847184</v>
      </c>
    </row>
    <row r="6" spans="1:26" ht="18.75" x14ac:dyDescent="0.3">
      <c r="A6" s="441" t="s">
        <v>155</v>
      </c>
      <c r="B6" s="441"/>
      <c r="C6" s="33">
        <f>'[2]весь фонд'!$E$2149</f>
        <v>14849.000000000004</v>
      </c>
      <c r="D6" s="31">
        <f t="shared" si="0"/>
        <v>10.725148302314985</v>
      </c>
      <c r="E6" s="56">
        <f t="shared" si="1"/>
        <v>1945.6888365716798</v>
      </c>
      <c r="F6" s="56">
        <f t="shared" si="2"/>
        <v>77489.192194166433</v>
      </c>
      <c r="G6" s="56">
        <f t="shared" si="3"/>
        <v>15032.21770844845</v>
      </c>
      <c r="H6" s="56">
        <f t="shared" si="4"/>
        <v>23818.100465510011</v>
      </c>
      <c r="I6" s="56">
        <f t="shared" si="5"/>
        <v>10825.940028515652</v>
      </c>
      <c r="J6" s="56">
        <f t="shared" si="6"/>
        <v>338.37842893803776</v>
      </c>
      <c r="K6" s="56">
        <f t="shared" si="7"/>
        <v>10481.650970348208</v>
      </c>
      <c r="L6" s="56">
        <f t="shared" si="8"/>
        <v>28266.02109926812</v>
      </c>
      <c r="M6" s="56">
        <f t="shared" si="9"/>
        <v>3256.1550245828294</v>
      </c>
      <c r="N6" s="56">
        <f t="shared" si="10"/>
        <v>1843.2347123841555</v>
      </c>
      <c r="O6" s="56">
        <f t="shared" si="11"/>
        <v>9257.3152308084591</v>
      </c>
      <c r="P6" s="56">
        <f t="shared" si="12"/>
        <v>10654.173560909585</v>
      </c>
      <c r="Q6" s="56">
        <f t="shared" si="13"/>
        <v>11250.872549283029</v>
      </c>
      <c r="R6" s="56">
        <f t="shared" si="14"/>
        <v>241676.61041319527</v>
      </c>
      <c r="S6" s="56">
        <f t="shared" si="15"/>
        <v>21818.254992585793</v>
      </c>
      <c r="T6" s="10">
        <f t="shared" si="16"/>
        <v>254276.47281067655</v>
      </c>
      <c r="U6" s="10">
        <f t="shared" si="17"/>
        <v>213677.33340483918</v>
      </c>
      <c r="X6" s="137">
        <f t="shared" si="18"/>
        <v>178815.71318071819</v>
      </c>
      <c r="Y6" s="137">
        <f t="shared" si="19"/>
        <v>1143428.1698518379</v>
      </c>
      <c r="Z6" s="10">
        <f t="shared" si="20"/>
        <v>1322243.8830325562</v>
      </c>
    </row>
    <row r="7" spans="1:26" ht="18.75" x14ac:dyDescent="0.3">
      <c r="A7" s="441" t="s">
        <v>154</v>
      </c>
      <c r="B7" s="441"/>
      <c r="C7" s="33">
        <f>'[2]весь фонд'!$E$1948</f>
        <v>11210.900000000001</v>
      </c>
      <c r="D7" s="31">
        <f t="shared" si="0"/>
        <v>8.0974183515673133</v>
      </c>
      <c r="E7" s="56">
        <f t="shared" si="1"/>
        <v>1468.982623605727</v>
      </c>
      <c r="F7" s="56">
        <f t="shared" si="2"/>
        <v>58503.844351106491</v>
      </c>
      <c r="G7" s="56">
        <f t="shared" si="3"/>
        <v>11349.228197699826</v>
      </c>
      <c r="H7" s="56">
        <f t="shared" si="4"/>
        <v>17982.513469512163</v>
      </c>
      <c r="I7" s="56">
        <f t="shared" si="5"/>
        <v>8173.5154600098376</v>
      </c>
      <c r="J7" s="56">
        <f t="shared" si="6"/>
        <v>255.47354899194875</v>
      </c>
      <c r="K7" s="56">
        <f t="shared" si="7"/>
        <v>7913.5794237643395</v>
      </c>
      <c r="L7" s="56">
        <f t="shared" si="8"/>
        <v>21340.665091372139</v>
      </c>
      <c r="M7" s="56">
        <f t="shared" si="9"/>
        <v>2458.3762115358363</v>
      </c>
      <c r="N7" s="56">
        <f t="shared" si="10"/>
        <v>1391.6304153187098</v>
      </c>
      <c r="O7" s="56">
        <f t="shared" si="11"/>
        <v>6989.2137733901627</v>
      </c>
      <c r="P7" s="56">
        <f t="shared" si="12"/>
        <v>8043.8328758839816</v>
      </c>
      <c r="Q7" s="56">
        <f t="shared" si="13"/>
        <v>8494.3367945826049</v>
      </c>
      <c r="R7" s="56">
        <f t="shared" si="14"/>
        <v>182464.29467851642</v>
      </c>
      <c r="S7" s="56">
        <f t="shared" si="15"/>
        <v>16472.642931940198</v>
      </c>
      <c r="T7" s="10">
        <f t="shared" si="16"/>
        <v>191977.11017800614</v>
      </c>
      <c r="U7" s="10">
        <f t="shared" si="17"/>
        <v>161325.01966922428</v>
      </c>
      <c r="V7" s="65">
        <f>U7*C29/100</f>
        <v>80922.679044244185</v>
      </c>
      <c r="W7" s="65">
        <f>U7*C30/100</f>
        <v>80402.340624980105</v>
      </c>
      <c r="X7" s="137">
        <f t="shared" si="18"/>
        <v>135004.71943549823</v>
      </c>
      <c r="Y7" s="137">
        <f t="shared" si="19"/>
        <v>863280.95288517524</v>
      </c>
      <c r="Z7" s="10">
        <f t="shared" si="20"/>
        <v>998285.67232067348</v>
      </c>
    </row>
    <row r="8" spans="1:26" ht="18.75" x14ac:dyDescent="0.3">
      <c r="A8" s="441" t="s">
        <v>158</v>
      </c>
      <c r="B8" s="441"/>
      <c r="C8" s="33">
        <f>'[2]весь фонд'!$E$1536</f>
        <v>68373.51999999999</v>
      </c>
      <c r="D8" s="31">
        <f t="shared" si="0"/>
        <v>49.384883961970459</v>
      </c>
      <c r="E8" s="56">
        <f t="shared" si="1"/>
        <v>8959.0945236117186</v>
      </c>
      <c r="F8" s="56">
        <f t="shared" si="2"/>
        <v>356805.76687128301</v>
      </c>
      <c r="G8" s="56">
        <f t="shared" si="3"/>
        <v>69217.16197272233</v>
      </c>
      <c r="H8" s="56">
        <f t="shared" si="4"/>
        <v>109672.52801808588</v>
      </c>
      <c r="I8" s="56">
        <f t="shared" si="5"/>
        <v>49848.988285979867</v>
      </c>
      <c r="J8" s="56">
        <f t="shared" si="6"/>
        <v>1558.093089000168</v>
      </c>
      <c r="K8" s="56">
        <f t="shared" si="7"/>
        <v>48263.679187428264</v>
      </c>
      <c r="L8" s="56">
        <f t="shared" si="8"/>
        <v>130153.36783293354</v>
      </c>
      <c r="M8" s="56">
        <f t="shared" si="9"/>
        <v>14993.250770854231</v>
      </c>
      <c r="N8" s="56">
        <f t="shared" si="10"/>
        <v>8487.3355425882055</v>
      </c>
      <c r="O8" s="56">
        <f t="shared" si="11"/>
        <v>42626.118127819151</v>
      </c>
      <c r="P8" s="56">
        <f t="shared" si="12"/>
        <v>49058.07455386372</v>
      </c>
      <c r="Q8" s="56">
        <f t="shared" si="13"/>
        <v>51805.627265529933</v>
      </c>
      <c r="R8" s="56">
        <f t="shared" si="14"/>
        <v>1112821.1028095365</v>
      </c>
      <c r="S8" s="56">
        <f t="shared" si="15"/>
        <v>100464.0645229082</v>
      </c>
      <c r="T8" s="10">
        <f t="shared" si="16"/>
        <v>1170838.2718870118</v>
      </c>
      <c r="U8" s="10">
        <f t="shared" si="17"/>
        <v>983895.98148713284</v>
      </c>
      <c r="X8" s="137">
        <f t="shared" si="18"/>
        <v>823372.60027450288</v>
      </c>
      <c r="Y8" s="137">
        <f t="shared" si="19"/>
        <v>5265015.0744109377</v>
      </c>
      <c r="Z8" s="10">
        <f t="shared" si="20"/>
        <v>6088387.674685441</v>
      </c>
    </row>
    <row r="9" spans="1:26" s="16" customFormat="1" ht="18.75" x14ac:dyDescent="0.3">
      <c r="A9" s="603" t="s">
        <v>169</v>
      </c>
      <c r="B9" s="604"/>
      <c r="C9" s="125">
        <f t="shared" ref="C9:S9" si="21">SUM(C2:C8)</f>
        <v>138450.30000000002</v>
      </c>
      <c r="D9" s="126">
        <f t="shared" si="21"/>
        <v>100</v>
      </c>
      <c r="E9" s="127">
        <f t="shared" si="21"/>
        <v>18141.369999999995</v>
      </c>
      <c r="F9" s="127">
        <f t="shared" si="21"/>
        <v>722499.96</v>
      </c>
      <c r="G9" s="127">
        <f t="shared" si="21"/>
        <v>140158.59999999998</v>
      </c>
      <c r="H9" s="127">
        <f t="shared" si="21"/>
        <v>222077.12</v>
      </c>
      <c r="I9" s="127">
        <f t="shared" si="21"/>
        <v>100939.77</v>
      </c>
      <c r="J9" s="127">
        <f t="shared" si="21"/>
        <v>3155</v>
      </c>
      <c r="K9" s="127">
        <f t="shared" si="21"/>
        <v>97729.66</v>
      </c>
      <c r="L9" s="127">
        <f t="shared" si="21"/>
        <v>263549</v>
      </c>
      <c r="M9" s="127">
        <f t="shared" si="21"/>
        <v>30360</v>
      </c>
      <c r="N9" s="127">
        <f t="shared" si="21"/>
        <v>17186.099999999999</v>
      </c>
      <c r="O9" s="127">
        <f t="shared" si="21"/>
        <v>86314.1</v>
      </c>
      <c r="P9" s="127">
        <f t="shared" si="21"/>
        <v>99338.239999999991</v>
      </c>
      <c r="Q9" s="127">
        <f t="shared" si="21"/>
        <v>104901.79</v>
      </c>
      <c r="R9" s="128">
        <f t="shared" si="21"/>
        <v>2253363.81</v>
      </c>
      <c r="S9" s="127">
        <f t="shared" si="21"/>
        <v>203430.8</v>
      </c>
      <c r="T9" s="131">
        <f t="shared" si="16"/>
        <v>2370843.42</v>
      </c>
      <c r="U9" s="131">
        <f>SUM(U2:U8)</f>
        <v>1992301.9</v>
      </c>
      <c r="X9" s="138"/>
      <c r="Y9" s="138"/>
    </row>
    <row r="10" spans="1:26" ht="45" customHeight="1" x14ac:dyDescent="0.25">
      <c r="E10" s="1" t="s">
        <v>277</v>
      </c>
      <c r="F10" s="1" t="s">
        <v>276</v>
      </c>
      <c r="G10" s="1" t="s">
        <v>276</v>
      </c>
      <c r="H10" s="1" t="s">
        <v>276</v>
      </c>
      <c r="I10" s="1" t="s">
        <v>276</v>
      </c>
      <c r="J10" s="1" t="s">
        <v>276</v>
      </c>
      <c r="K10" s="1" t="s">
        <v>276</v>
      </c>
      <c r="L10" s="1" t="s">
        <v>276</v>
      </c>
      <c r="M10" s="1" t="s">
        <v>276</v>
      </c>
      <c r="N10" s="1" t="s">
        <v>276</v>
      </c>
      <c r="O10" s="1" t="s">
        <v>276</v>
      </c>
      <c r="P10" s="1" t="s">
        <v>277</v>
      </c>
      <c r="Q10" s="1" t="s">
        <v>276</v>
      </c>
      <c r="R10" s="1" t="s">
        <v>277</v>
      </c>
      <c r="S10" s="1" t="s">
        <v>276</v>
      </c>
      <c r="X10" s="137">
        <f>1280534.81*1.302</f>
        <v>1667256.3226200002</v>
      </c>
      <c r="Y10" s="137">
        <f>8188316.05*1.302</f>
        <v>10661187.497099999</v>
      </c>
      <c r="Z10" s="10">
        <f>SUM(Z2:Z8)</f>
        <v>12328443.81972</v>
      </c>
    </row>
    <row r="11" spans="1:26" ht="30.75" customHeight="1" x14ac:dyDescent="0.25">
      <c r="A11" s="602" t="s">
        <v>260</v>
      </c>
      <c r="B11" s="602"/>
      <c r="C11" s="602"/>
      <c r="D11" s="122">
        <f>2351.45+15789.92</f>
        <v>18141.37</v>
      </c>
    </row>
    <row r="12" spans="1:26" x14ac:dyDescent="0.25">
      <c r="A12" s="601" t="s">
        <v>262</v>
      </c>
      <c r="B12" s="601"/>
      <c r="C12" s="601"/>
      <c r="D12" s="122">
        <f>722499.96</f>
        <v>722499.96</v>
      </c>
    </row>
    <row r="13" spans="1:26" x14ac:dyDescent="0.25">
      <c r="A13" s="601" t="s">
        <v>263</v>
      </c>
      <c r="B13" s="601"/>
      <c r="C13" s="601"/>
      <c r="D13" s="122">
        <v>140158.6</v>
      </c>
    </row>
    <row r="14" spans="1:26" x14ac:dyDescent="0.25">
      <c r="A14" s="601" t="s">
        <v>259</v>
      </c>
      <c r="B14" s="601"/>
      <c r="C14" s="601"/>
      <c r="D14" s="122">
        <f>222077.12</f>
        <v>222077.12</v>
      </c>
    </row>
    <row r="15" spans="1:26" x14ac:dyDescent="0.25">
      <c r="A15" s="601" t="s">
        <v>264</v>
      </c>
      <c r="B15" s="601"/>
      <c r="C15" s="601"/>
      <c r="D15" s="122">
        <f>100939.77</f>
        <v>100939.77</v>
      </c>
    </row>
    <row r="16" spans="1:26" x14ac:dyDescent="0.25">
      <c r="A16" s="601" t="s">
        <v>265</v>
      </c>
      <c r="B16" s="601"/>
      <c r="C16" s="601"/>
      <c r="D16" s="122">
        <v>3155</v>
      </c>
    </row>
    <row r="17" spans="1:4" x14ac:dyDescent="0.25">
      <c r="A17" s="601" t="s">
        <v>192</v>
      </c>
      <c r="B17" s="601"/>
      <c r="C17" s="601"/>
      <c r="D17" s="122">
        <v>97729.66</v>
      </c>
    </row>
    <row r="18" spans="1:4" x14ac:dyDescent="0.25">
      <c r="A18" s="601" t="s">
        <v>267</v>
      </c>
      <c r="B18" s="601"/>
      <c r="C18" s="601"/>
      <c r="D18" s="122">
        <f>263549</f>
        <v>263549</v>
      </c>
    </row>
    <row r="19" spans="1:4" x14ac:dyDescent="0.25">
      <c r="A19" s="601" t="s">
        <v>269</v>
      </c>
      <c r="B19" s="601"/>
      <c r="C19" s="601"/>
      <c r="D19" s="122">
        <f>30360</f>
        <v>30360</v>
      </c>
    </row>
    <row r="20" spans="1:4" x14ac:dyDescent="0.25">
      <c r="A20" s="601" t="s">
        <v>270</v>
      </c>
      <c r="B20" s="601"/>
      <c r="C20" s="601"/>
      <c r="D20" s="122">
        <f>17186.1</f>
        <v>17186.099999999999</v>
      </c>
    </row>
    <row r="21" spans="1:4" x14ac:dyDescent="0.25">
      <c r="A21" s="601" t="s">
        <v>271</v>
      </c>
      <c r="B21" s="601"/>
      <c r="C21" s="601"/>
      <c r="D21" s="122">
        <v>86314.1</v>
      </c>
    </row>
    <row r="22" spans="1:4" x14ac:dyDescent="0.25">
      <c r="A22" s="601" t="s">
        <v>272</v>
      </c>
      <c r="B22" s="601"/>
      <c r="C22" s="601"/>
      <c r="D22" s="122">
        <v>99338.240000000005</v>
      </c>
    </row>
    <row r="23" spans="1:4" x14ac:dyDescent="0.25">
      <c r="A23" s="601" t="s">
        <v>273</v>
      </c>
      <c r="B23" s="601"/>
      <c r="C23" s="601"/>
      <c r="D23" s="122">
        <f>104901.79</f>
        <v>104901.79</v>
      </c>
    </row>
    <row r="24" spans="1:4" x14ac:dyDescent="0.25">
      <c r="A24" s="601" t="s">
        <v>274</v>
      </c>
      <c r="B24" s="601"/>
      <c r="C24" s="601"/>
      <c r="D24" s="122">
        <v>2253363.81</v>
      </c>
    </row>
    <row r="25" spans="1:4" x14ac:dyDescent="0.25">
      <c r="A25" s="601" t="s">
        <v>275</v>
      </c>
      <c r="B25" s="601"/>
      <c r="C25" s="601"/>
      <c r="D25" s="122">
        <v>203430.8</v>
      </c>
    </row>
    <row r="26" spans="1:4" x14ac:dyDescent="0.25">
      <c r="D26" s="129">
        <f>SUM(D11:D25)</f>
        <v>4363145.32</v>
      </c>
    </row>
    <row r="28" spans="1:4" x14ac:dyDescent="0.25">
      <c r="A28" t="s">
        <v>284</v>
      </c>
    </row>
    <row r="29" spans="1:4" x14ac:dyDescent="0.25">
      <c r="A29" t="s">
        <v>285</v>
      </c>
      <c r="B29">
        <f>5646+284.8+507.7</f>
        <v>6438.5</v>
      </c>
      <c r="C29" s="9">
        <f>B29/B31*100</f>
        <v>50.161270217208397</v>
      </c>
    </row>
    <row r="30" spans="1:4" x14ac:dyDescent="0.25">
      <c r="A30" t="s">
        <v>286</v>
      </c>
      <c r="B30">
        <f>832.2+5564.9</f>
        <v>6397.0999999999995</v>
      </c>
      <c r="C30" s="9">
        <f>B30/B31*100</f>
        <v>49.83872978279161</v>
      </c>
    </row>
    <row r="31" spans="1:4" x14ac:dyDescent="0.25">
      <c r="A31" t="s">
        <v>169</v>
      </c>
      <c r="B31">
        <f>507.7+284.8+832.2+5646+5564.9</f>
        <v>12835.599999999999</v>
      </c>
    </row>
  </sheetData>
  <mergeCells count="24">
    <mergeCell ref="A25:C25"/>
    <mergeCell ref="A21:C21"/>
    <mergeCell ref="A22:C22"/>
    <mergeCell ref="A9:B9"/>
    <mergeCell ref="A23:C23"/>
    <mergeCell ref="A24:C24"/>
    <mergeCell ref="A6:B6"/>
    <mergeCell ref="A17:C17"/>
    <mergeCell ref="A18:C18"/>
    <mergeCell ref="A19:C19"/>
    <mergeCell ref="A20:C20"/>
    <mergeCell ref="A15:C15"/>
    <mergeCell ref="A16:C16"/>
    <mergeCell ref="A7:B7"/>
    <mergeCell ref="A8:B8"/>
    <mergeCell ref="A11:C11"/>
    <mergeCell ref="A12:C12"/>
    <mergeCell ref="A13:C13"/>
    <mergeCell ref="A14:C14"/>
    <mergeCell ref="A1:D1"/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N20"/>
  <sheetViews>
    <sheetView workbookViewId="0">
      <selection activeCell="I24" sqref="I24"/>
    </sheetView>
  </sheetViews>
  <sheetFormatPr defaultRowHeight="15" x14ac:dyDescent="0.25"/>
  <cols>
    <col min="2" max="2" width="17.28515625" customWidth="1"/>
    <col min="3" max="3" width="16.7109375" customWidth="1"/>
    <col min="4" max="4" width="12.42578125" customWidth="1"/>
    <col min="5" max="5" width="16.5703125" customWidth="1"/>
    <col min="6" max="6" width="18.28515625" customWidth="1"/>
    <col min="7" max="8" width="12" customWidth="1"/>
    <col min="9" max="9" width="16.28515625" customWidth="1"/>
    <col min="10" max="10" width="19.42578125" customWidth="1"/>
    <col min="11" max="11" width="14" customWidth="1"/>
    <col min="12" max="12" width="11.7109375" customWidth="1"/>
    <col min="13" max="13" width="12.140625" customWidth="1"/>
    <col min="14" max="14" width="13.42578125" customWidth="1"/>
  </cols>
  <sheetData>
    <row r="1" spans="1:14" ht="51.75" customHeight="1" x14ac:dyDescent="0.25">
      <c r="E1" s="122" t="s">
        <v>290</v>
      </c>
      <c r="F1" s="1" t="s">
        <v>300</v>
      </c>
      <c r="G1" s="1" t="s">
        <v>301</v>
      </c>
      <c r="H1" s="1" t="s">
        <v>302</v>
      </c>
      <c r="I1" s="1" t="s">
        <v>303</v>
      </c>
      <c r="J1" s="1" t="s">
        <v>304</v>
      </c>
      <c r="K1" s="1" t="s">
        <v>306</v>
      </c>
      <c r="L1" s="1" t="s">
        <v>307</v>
      </c>
      <c r="M1" s="1" t="s">
        <v>308</v>
      </c>
      <c r="N1" s="1" t="s">
        <v>313</v>
      </c>
    </row>
    <row r="2" spans="1:14" ht="18.75" x14ac:dyDescent="0.3">
      <c r="A2" s="441" t="s">
        <v>164</v>
      </c>
      <c r="B2" s="441"/>
      <c r="C2" s="30">
        <f>9334.5+2459.2</f>
        <v>11793.7</v>
      </c>
      <c r="D2" s="10">
        <f>C2/$C$9*100</f>
        <v>7.2838736222573752</v>
      </c>
      <c r="E2" s="10">
        <f>D2*$E$9/100</f>
        <v>83672.317814035923</v>
      </c>
      <c r="F2" s="10">
        <f>D2*$F$9/100</f>
        <v>86993.991652417855</v>
      </c>
      <c r="G2" s="10">
        <f>D2*$G$9/100</f>
        <v>14600.353672313879</v>
      </c>
      <c r="H2" s="10">
        <f>D2*$H$9/100</f>
        <v>2557.2660006431884</v>
      </c>
      <c r="I2" s="10">
        <f>D2*$I$9/100</f>
        <v>152153.24197608096</v>
      </c>
      <c r="J2" s="10">
        <f>$J$9*D2/100</f>
        <v>211080.17537709512</v>
      </c>
      <c r="K2" s="10">
        <f>D2*$K$9/100</f>
        <v>305264.86656991229</v>
      </c>
      <c r="L2" s="10">
        <f>$L$9*D2/100</f>
        <v>17171.843181420645</v>
      </c>
      <c r="M2" s="10">
        <f>D2*$M$9/100</f>
        <v>65459.022287111169</v>
      </c>
      <c r="N2" s="10">
        <f>D2*$N$9/100</f>
        <v>43080.081579989819</v>
      </c>
    </row>
    <row r="3" spans="1:14" ht="18.75" x14ac:dyDescent="0.3">
      <c r="A3" s="441" t="s">
        <v>112</v>
      </c>
      <c r="B3" s="441"/>
      <c r="C3" s="33">
        <f>'[2]весь фонд'!$E$338+2974.36</f>
        <v>16619.94000000001</v>
      </c>
      <c r="D3" s="10">
        <f t="shared" ref="D3:D8" si="0">C3/$C$9*100</f>
        <v>10.264594026429391</v>
      </c>
      <c r="E3" s="10">
        <f t="shared" ref="E3:E8" si="1">D3*$E$9/100</f>
        <v>117912.86040260555</v>
      </c>
      <c r="F3" s="10">
        <f t="shared" ref="F3:F8" si="2">D3*$F$9/100</f>
        <v>122593.83582961127</v>
      </c>
      <c r="G3" s="10">
        <f t="shared" ref="G3:G8" si="3">D3*$G$9/100</f>
        <v>20575.137744103755</v>
      </c>
      <c r="H3" s="10">
        <f t="shared" ref="H3:H8" si="4">D3*$H$9/100</f>
        <v>3603.7551824049938</v>
      </c>
      <c r="I3" s="10">
        <f t="shared" ref="I3:I8" si="5">D3*$I$9/100</f>
        <v>214417.67659410939</v>
      </c>
      <c r="J3" s="10">
        <f t="shared" ref="J3:J8" si="6">$J$9*D3/100</f>
        <v>297458.80003364506</v>
      </c>
      <c r="K3" s="10">
        <f t="shared" ref="K3:K8" si="7">D3*$K$9/100</f>
        <v>430185.92693556315</v>
      </c>
      <c r="L3" s="10">
        <f t="shared" ref="L3:L8" si="8">$L$9*D3/100</f>
        <v>24198.937005742086</v>
      </c>
      <c r="M3" s="10">
        <f t="shared" ref="M3:M8" si="9">D3*$M$9/100</f>
        <v>92246.285972209836</v>
      </c>
      <c r="N3" s="10">
        <f t="shared" ref="N3:N8" si="10">D3*$N$9/100</f>
        <v>60709.393239995625</v>
      </c>
    </row>
    <row r="4" spans="1:14" ht="18.75" x14ac:dyDescent="0.3">
      <c r="A4" s="441" t="s">
        <v>115</v>
      </c>
      <c r="B4" s="441"/>
      <c r="C4" s="33">
        <f>'[2]весь фонд'!$E$444+1226+96</f>
        <v>9833.3000000000011</v>
      </c>
      <c r="D4" s="10">
        <f t="shared" si="0"/>
        <v>6.0731165359254051</v>
      </c>
      <c r="E4" s="10">
        <f t="shared" si="1"/>
        <v>69763.941999606526</v>
      </c>
      <c r="F4" s="10">
        <f t="shared" si="2"/>
        <v>72533.472796130183</v>
      </c>
      <c r="G4" s="10">
        <f t="shared" si="3"/>
        <v>12173.419517705559</v>
      </c>
      <c r="H4" s="10">
        <f t="shared" si="4"/>
        <v>2132.1861471908446</v>
      </c>
      <c r="I4" s="10">
        <f t="shared" si="5"/>
        <v>126861.66973243315</v>
      </c>
      <c r="J4" s="10">
        <f t="shared" si="6"/>
        <v>175993.51251393449</v>
      </c>
      <c r="K4" s="10">
        <f t="shared" si="7"/>
        <v>254522.41556440463</v>
      </c>
      <c r="L4" s="10">
        <f t="shared" si="8"/>
        <v>14317.464880051522</v>
      </c>
      <c r="M4" s="10">
        <f t="shared" si="9"/>
        <v>54578.139502942271</v>
      </c>
      <c r="N4" s="10">
        <f t="shared" si="10"/>
        <v>35919.123447307793</v>
      </c>
    </row>
    <row r="5" spans="1:14" ht="18.75" x14ac:dyDescent="0.3">
      <c r="A5" s="441" t="s">
        <v>116</v>
      </c>
      <c r="B5" s="441"/>
      <c r="C5" s="33">
        <f>'[2]весь фонд'!$E$614+1554.8</f>
        <v>14080.300000000003</v>
      </c>
      <c r="D5" s="10">
        <f t="shared" si="0"/>
        <v>8.6960941658233253</v>
      </c>
      <c r="E5" s="10">
        <f t="shared" si="1"/>
        <v>99894.972444353378</v>
      </c>
      <c r="F5" s="10">
        <f t="shared" si="2"/>
        <v>103860.6629525543</v>
      </c>
      <c r="G5" s="10">
        <f t="shared" si="3"/>
        <v>17431.116597190125</v>
      </c>
      <c r="H5" s="10">
        <f t="shared" si="4"/>
        <v>3053.0768519511516</v>
      </c>
      <c r="I5" s="10">
        <f t="shared" si="5"/>
        <v>181653.19560407789</v>
      </c>
      <c r="J5" s="10">
        <f t="shared" si="6"/>
        <v>252005.06994091024</v>
      </c>
      <c r="K5" s="10">
        <f t="shared" si="7"/>
        <v>364450.58809061936</v>
      </c>
      <c r="L5" s="10">
        <f t="shared" si="8"/>
        <v>20501.174656584208</v>
      </c>
      <c r="M5" s="10">
        <f t="shared" si="9"/>
        <v>78150.425354995605</v>
      </c>
      <c r="N5" s="10">
        <f t="shared" si="10"/>
        <v>51432.58457233361</v>
      </c>
    </row>
    <row r="6" spans="1:14" ht="18.75" x14ac:dyDescent="0.3">
      <c r="A6" s="441" t="s">
        <v>155</v>
      </c>
      <c r="B6" s="441"/>
      <c r="C6" s="33">
        <f>'[2]весь фонд'!$E$2149+2396.53</f>
        <v>17245.530000000002</v>
      </c>
      <c r="D6" s="10">
        <f t="shared" si="0"/>
        <v>10.650962892802788</v>
      </c>
      <c r="E6" s="10">
        <f t="shared" si="1"/>
        <v>122351.21014028601</v>
      </c>
      <c r="F6" s="10">
        <f t="shared" si="2"/>
        <v>127208.38183619406</v>
      </c>
      <c r="G6" s="10">
        <f t="shared" si="3"/>
        <v>21349.605065967353</v>
      </c>
      <c r="H6" s="10">
        <f t="shared" si="4"/>
        <v>3739.4038793654345</v>
      </c>
      <c r="I6" s="10">
        <f t="shared" si="5"/>
        <v>222488.55737349289</v>
      </c>
      <c r="J6" s="10">
        <f t="shared" si="6"/>
        <v>308655.42593680992</v>
      </c>
      <c r="K6" s="10">
        <f t="shared" si="7"/>
        <v>446378.52534636459</v>
      </c>
      <c r="L6" s="10">
        <f t="shared" si="8"/>
        <v>25109.807502351698</v>
      </c>
      <c r="M6" s="10">
        <f t="shared" si="9"/>
        <v>95718.521975550044</v>
      </c>
      <c r="N6" s="10">
        <f t="shared" si="10"/>
        <v>62994.551268063617</v>
      </c>
    </row>
    <row r="7" spans="1:14" ht="18.75" x14ac:dyDescent="0.3">
      <c r="A7" s="441" t="s">
        <v>154</v>
      </c>
      <c r="B7" s="441"/>
      <c r="C7" s="33">
        <f>'[2]весь фонд'!$E$1948+1624.7</f>
        <v>12835.600000000002</v>
      </c>
      <c r="D7" s="10">
        <f t="shared" si="0"/>
        <v>7.9273585275059375</v>
      </c>
      <c r="E7" s="10">
        <f t="shared" si="1"/>
        <v>91064.246380172452</v>
      </c>
      <c r="F7" s="10">
        <f t="shared" si="2"/>
        <v>94679.36943060912</v>
      </c>
      <c r="G7" s="10">
        <f t="shared" si="3"/>
        <v>15890.2040577895</v>
      </c>
      <c r="H7" s="10">
        <f t="shared" si="4"/>
        <v>2783.1845373254969</v>
      </c>
      <c r="I7" s="10">
        <f t="shared" si="5"/>
        <v>165595.03401885624</v>
      </c>
      <c r="J7" s="10">
        <f t="shared" si="6"/>
        <v>229727.79526952881</v>
      </c>
      <c r="K7" s="10">
        <f t="shared" si="7"/>
        <v>332233.11779549817</v>
      </c>
      <c r="L7" s="10">
        <f t="shared" si="8"/>
        <v>18688.868662035056</v>
      </c>
      <c r="M7" s="10">
        <f t="shared" si="9"/>
        <v>71241.919539113616</v>
      </c>
      <c r="N7" s="10">
        <f t="shared" si="10"/>
        <v>46885.938689988499</v>
      </c>
    </row>
    <row r="8" spans="1:14" ht="18.75" x14ac:dyDescent="0.3">
      <c r="A8" s="441" t="s">
        <v>158</v>
      </c>
      <c r="B8" s="441"/>
      <c r="C8" s="33">
        <f>'[2]весь фонд'!$E$1536+7755.8+1834.47+1543.06</f>
        <v>79506.849999999991</v>
      </c>
      <c r="D8" s="10">
        <f t="shared" si="0"/>
        <v>49.104000229255767</v>
      </c>
      <c r="E8" s="10">
        <f t="shared" si="1"/>
        <v>564074.24485894013</v>
      </c>
      <c r="F8" s="10">
        <f t="shared" si="2"/>
        <v>586467.20242248301</v>
      </c>
      <c r="G8" s="10">
        <f t="shared" si="3"/>
        <v>98427.815644929797</v>
      </c>
      <c r="H8" s="10">
        <f t="shared" si="4"/>
        <v>17239.72666111889</v>
      </c>
      <c r="I8" s="10">
        <f t="shared" si="5"/>
        <v>1025736.1970209493</v>
      </c>
      <c r="J8" s="10">
        <f t="shared" si="6"/>
        <v>1422990.2271280764</v>
      </c>
      <c r="K8" s="10">
        <f t="shared" si="7"/>
        <v>2057933.2996976376</v>
      </c>
      <c r="L8" s="10">
        <f t="shared" si="8"/>
        <v>115763.42963181478</v>
      </c>
      <c r="M8" s="10">
        <f t="shared" si="9"/>
        <v>441289.89766807744</v>
      </c>
      <c r="N8" s="10">
        <f t="shared" si="10"/>
        <v>290422.987202321</v>
      </c>
    </row>
    <row r="9" spans="1:14" ht="37.5" customHeight="1" x14ac:dyDescent="0.25">
      <c r="C9">
        <f>SUM(C2:C8)</f>
        <v>161915.22000000003</v>
      </c>
      <c r="D9" s="10">
        <f>SUM(D2:D8)</f>
        <v>100</v>
      </c>
      <c r="E9" s="10">
        <f>882284.02*1.302</f>
        <v>1148733.7940400001</v>
      </c>
      <c r="F9" s="10">
        <f>917309.46*1.302</f>
        <v>1194336.91692</v>
      </c>
      <c r="G9" s="10">
        <f>153953.65*1.302</f>
        <v>200447.65229999999</v>
      </c>
      <c r="H9" s="10">
        <f>26965.13*1.302</f>
        <v>35108.599260000003</v>
      </c>
      <c r="I9" s="10">
        <f>1604382.16*1.302</f>
        <v>2088905.57232</v>
      </c>
      <c r="J9" s="10">
        <f>2225738.1*1.302</f>
        <v>2897911.0062000002</v>
      </c>
      <c r="K9" s="10">
        <f>3218870*1.302</f>
        <v>4190968.74</v>
      </c>
      <c r="L9" s="10">
        <f>181068.76*1.302</f>
        <v>235751.52552000002</v>
      </c>
      <c r="M9" s="10">
        <f>690233.65*1.302</f>
        <v>898684.21230000001</v>
      </c>
      <c r="N9" s="10">
        <v>591444.66</v>
      </c>
    </row>
    <row r="12" spans="1:14" ht="30" x14ac:dyDescent="0.25">
      <c r="E12" s="162" t="s">
        <v>305</v>
      </c>
    </row>
    <row r="13" spans="1:14" ht="18.75" x14ac:dyDescent="0.3">
      <c r="A13" s="441" t="s">
        <v>164</v>
      </c>
      <c r="B13" s="441"/>
      <c r="C13" s="30">
        <f>9334.5+2459.2</f>
        <v>11793.7</v>
      </c>
      <c r="D13" s="10">
        <f>C13/$C$20*100</f>
        <v>7.754833710673827</v>
      </c>
      <c r="E13" s="65">
        <f>D13*$E$20/100</f>
        <v>107189.87691771863</v>
      </c>
    </row>
    <row r="14" spans="1:14" ht="18.75" x14ac:dyDescent="0.3">
      <c r="A14" s="441" t="s">
        <v>112</v>
      </c>
      <c r="B14" s="441"/>
      <c r="C14" s="33">
        <f>'[2]весь фонд'!$E$338+2974.36</f>
        <v>16619.94000000001</v>
      </c>
      <c r="D14" s="10">
        <f t="shared" ref="D14:D19" si="11">C14/$C$20*100</f>
        <v>10.928281284192105</v>
      </c>
      <c r="E14" s="65">
        <f t="shared" ref="E14:E19" si="12">D14*$E$20/100</f>
        <v>151054.31908390659</v>
      </c>
    </row>
    <row r="15" spans="1:14" ht="18.75" x14ac:dyDescent="0.3">
      <c r="A15" s="441" t="s">
        <v>115</v>
      </c>
      <c r="B15" s="441"/>
      <c r="C15" s="33"/>
      <c r="D15" s="10"/>
      <c r="E15" s="65"/>
    </row>
    <row r="16" spans="1:14" ht="18.75" x14ac:dyDescent="0.3">
      <c r="A16" s="441" t="s">
        <v>116</v>
      </c>
      <c r="B16" s="441"/>
      <c r="C16" s="33">
        <f>'[2]весь фонд'!$E$614+1554.8</f>
        <v>14080.300000000003</v>
      </c>
      <c r="D16" s="10">
        <f t="shared" si="11"/>
        <v>9.2583654914404043</v>
      </c>
      <c r="E16" s="65">
        <f t="shared" si="12"/>
        <v>127972.19057331912</v>
      </c>
    </row>
    <row r="17" spans="1:5" ht="18.75" x14ac:dyDescent="0.3">
      <c r="A17" s="441" t="s">
        <v>155</v>
      </c>
      <c r="B17" s="441"/>
      <c r="C17" s="33">
        <f>'[2]весь фонд'!$E$2149+2396.53</f>
        <v>17245.530000000002</v>
      </c>
      <c r="D17" s="10">
        <f t="shared" si="11"/>
        <v>11.339631956250948</v>
      </c>
      <c r="E17" s="65">
        <f t="shared" si="12"/>
        <v>156740.1441516084</v>
      </c>
    </row>
    <row r="18" spans="1:5" ht="18.75" x14ac:dyDescent="0.3">
      <c r="A18" s="441" t="s">
        <v>154</v>
      </c>
      <c r="B18" s="441"/>
      <c r="C18" s="33">
        <f>'[2]весь фонд'!$E$1948+1624.7</f>
        <v>12835.600000000002</v>
      </c>
      <c r="D18" s="10">
        <f t="shared" si="11"/>
        <v>8.4399250088373421</v>
      </c>
      <c r="E18" s="65">
        <f t="shared" si="12"/>
        <v>116659.43547530199</v>
      </c>
    </row>
    <row r="19" spans="1:5" ht="18.75" x14ac:dyDescent="0.3">
      <c r="A19" s="441" t="s">
        <v>158</v>
      </c>
      <c r="B19" s="441"/>
      <c r="C19" s="33">
        <f>'[2]весь фонд'!$E$1536+7755.8+1834.47+1543.06</f>
        <v>79506.849999999991</v>
      </c>
      <c r="D19" s="10">
        <f t="shared" si="11"/>
        <v>52.278962548605371</v>
      </c>
      <c r="E19" s="65">
        <f t="shared" si="12"/>
        <v>722617.11469814507</v>
      </c>
    </row>
    <row r="20" spans="1:5" x14ac:dyDescent="0.25">
      <c r="C20">
        <f>SUM(C13:C19)</f>
        <v>152081.92000000001</v>
      </c>
      <c r="D20" s="10">
        <f>SUM(D13:D19)</f>
        <v>100</v>
      </c>
      <c r="E20">
        <f>1061622.95*1.302</f>
        <v>1382233.0808999999</v>
      </c>
    </row>
  </sheetData>
  <mergeCells count="14">
    <mergeCell ref="A8:B8"/>
    <mergeCell ref="A2:B2"/>
    <mergeCell ref="A3:B3"/>
    <mergeCell ref="A4:B4"/>
    <mergeCell ref="A5:B5"/>
    <mergeCell ref="A6:B6"/>
    <mergeCell ref="A7:B7"/>
    <mergeCell ref="A18:B18"/>
    <mergeCell ref="A19:B19"/>
    <mergeCell ref="A13:B13"/>
    <mergeCell ref="A14:B14"/>
    <mergeCell ref="A15:B15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V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1" sqref="C11"/>
    </sheetView>
  </sheetViews>
  <sheetFormatPr defaultRowHeight="15" x14ac:dyDescent="0.25"/>
  <cols>
    <col min="1" max="1" width="18.5703125" customWidth="1"/>
    <col min="2" max="2" width="14.5703125" customWidth="1"/>
    <col min="3" max="3" width="17.28515625" customWidth="1"/>
    <col min="4" max="4" width="13.85546875" customWidth="1"/>
    <col min="5" max="5" width="15" customWidth="1"/>
    <col min="6" max="6" width="13.5703125" customWidth="1"/>
    <col min="7" max="7" width="15.28515625" customWidth="1"/>
    <col min="8" max="8" width="16.7109375" customWidth="1"/>
    <col min="9" max="9" width="14.42578125" customWidth="1"/>
    <col min="10" max="10" width="15.5703125" customWidth="1"/>
    <col min="11" max="11" width="13.42578125" customWidth="1"/>
    <col min="12" max="12" width="13" customWidth="1"/>
    <col min="13" max="13" width="13.28515625" customWidth="1"/>
    <col min="14" max="14" width="14.5703125" customWidth="1"/>
    <col min="15" max="15" width="12.140625" customWidth="1"/>
    <col min="16" max="16" width="13" customWidth="1"/>
    <col min="17" max="17" width="14.42578125" customWidth="1"/>
    <col min="18" max="18" width="14.7109375" customWidth="1"/>
    <col min="19" max="19" width="12.5703125" customWidth="1"/>
    <col min="20" max="20" width="14.42578125" customWidth="1"/>
    <col min="21" max="21" width="12.5703125" customWidth="1"/>
    <col min="22" max="22" width="12.140625" customWidth="1"/>
  </cols>
  <sheetData>
    <row r="1" spans="1:22" ht="17.25" customHeight="1" x14ac:dyDescent="0.25">
      <c r="A1" s="173" t="s">
        <v>317</v>
      </c>
      <c r="B1" s="183"/>
      <c r="C1" s="166"/>
      <c r="D1" s="167"/>
      <c r="E1" s="183"/>
      <c r="F1" s="166"/>
      <c r="G1" s="167"/>
      <c r="H1" s="183"/>
      <c r="I1" s="166"/>
      <c r="J1" s="167"/>
      <c r="K1" s="183"/>
      <c r="L1" s="166"/>
      <c r="M1" s="167"/>
      <c r="N1" s="183"/>
      <c r="O1" s="166"/>
      <c r="P1" s="167"/>
      <c r="Q1" s="183"/>
      <c r="R1" s="166"/>
      <c r="S1" s="167"/>
      <c r="T1" s="183"/>
      <c r="U1" s="166"/>
      <c r="V1" s="167"/>
    </row>
    <row r="2" spans="1:22" x14ac:dyDescent="0.25">
      <c r="A2" s="70"/>
      <c r="B2" s="70"/>
      <c r="C2" s="605" t="s">
        <v>154</v>
      </c>
      <c r="D2" s="606"/>
      <c r="E2" s="70"/>
      <c r="F2" s="605" t="s">
        <v>155</v>
      </c>
      <c r="G2" s="606"/>
      <c r="H2" s="70"/>
      <c r="I2" s="605" t="s">
        <v>152</v>
      </c>
      <c r="J2" s="606"/>
      <c r="K2" s="70"/>
      <c r="L2" s="605" t="s">
        <v>153</v>
      </c>
      <c r="M2" s="606"/>
      <c r="N2" s="70"/>
      <c r="O2" s="605" t="s">
        <v>156</v>
      </c>
      <c r="P2" s="606"/>
      <c r="Q2" s="70"/>
      <c r="R2" s="605" t="s">
        <v>157</v>
      </c>
      <c r="S2" s="606"/>
      <c r="T2" s="70"/>
      <c r="U2" s="605" t="s">
        <v>158</v>
      </c>
      <c r="V2" s="606"/>
    </row>
    <row r="3" spans="1:22" ht="34.5" customHeight="1" x14ac:dyDescent="0.25">
      <c r="A3" s="70" t="s">
        <v>318</v>
      </c>
      <c r="B3" s="70"/>
      <c r="C3" s="19">
        <f>2791797.8</f>
        <v>2791797.8</v>
      </c>
      <c r="D3" s="75"/>
      <c r="E3" s="70"/>
      <c r="F3" s="19">
        <v>2833056.9</v>
      </c>
      <c r="G3" s="75"/>
      <c r="H3" s="70"/>
      <c r="I3" s="19">
        <f>3157329.7</f>
        <v>3157329.7</v>
      </c>
      <c r="J3" s="75"/>
      <c r="K3" s="70"/>
      <c r="L3" s="19">
        <v>3200789.9</v>
      </c>
      <c r="M3" s="75"/>
      <c r="N3" s="70"/>
      <c r="O3" s="19">
        <f>113080+771480</f>
        <v>884560</v>
      </c>
      <c r="P3" s="75"/>
      <c r="Q3" s="70"/>
      <c r="R3" s="19">
        <f>2667492.5</f>
        <v>2667492.5</v>
      </c>
      <c r="S3" s="75"/>
      <c r="T3" s="70"/>
      <c r="U3" s="19">
        <v>8243398.5999999996</v>
      </c>
      <c r="V3" s="75"/>
    </row>
    <row r="4" spans="1:22" ht="32.25" customHeight="1" x14ac:dyDescent="0.25">
      <c r="A4" s="70" t="s">
        <v>319</v>
      </c>
      <c r="B4" s="70"/>
      <c r="C4" s="19">
        <v>9891391</v>
      </c>
      <c r="D4" s="75"/>
      <c r="E4" s="70"/>
      <c r="F4" s="19">
        <v>14036508.32</v>
      </c>
      <c r="G4" s="75"/>
      <c r="H4" s="70"/>
      <c r="I4" s="19">
        <v>8153256.1699999999</v>
      </c>
      <c r="J4" s="75"/>
      <c r="K4" s="70"/>
      <c r="L4" s="19">
        <v>11098285.68</v>
      </c>
      <c r="M4" s="75"/>
      <c r="N4" s="70"/>
      <c r="O4" s="19">
        <f>7392027.74</f>
        <v>7392027.7400000002</v>
      </c>
      <c r="P4" s="75"/>
      <c r="Q4" s="70"/>
      <c r="R4" s="19">
        <v>11035280.310000001</v>
      </c>
      <c r="S4" s="75"/>
      <c r="T4" s="70"/>
      <c r="U4" s="19">
        <f>54030338.3+1750068.51</f>
        <v>55780406.809999995</v>
      </c>
      <c r="V4" s="75"/>
    </row>
    <row r="5" spans="1:22" ht="35.25" customHeight="1" x14ac:dyDescent="0.25">
      <c r="A5" s="70"/>
      <c r="B5" s="70"/>
      <c r="C5" s="19">
        <f>SUM(C3:C4)</f>
        <v>12683188.800000001</v>
      </c>
      <c r="D5" s="75"/>
      <c r="E5" s="70"/>
      <c r="F5" s="19">
        <f>SUM(F3:F4)</f>
        <v>16869565.219999999</v>
      </c>
      <c r="G5" s="75"/>
      <c r="H5" s="70"/>
      <c r="I5" s="19">
        <f>SUM(I3:I4)</f>
        <v>11310585.870000001</v>
      </c>
      <c r="J5" s="75"/>
      <c r="K5" s="70"/>
      <c r="L5" s="19">
        <f>SUM(L3:L4)</f>
        <v>14299075.58</v>
      </c>
      <c r="M5" s="75"/>
      <c r="N5" s="70"/>
      <c r="O5" s="19">
        <f>SUM(O3:O4)</f>
        <v>8276587.7400000002</v>
      </c>
      <c r="P5" s="75"/>
      <c r="Q5" s="70"/>
      <c r="R5" s="19">
        <f>SUM(R3:R4)</f>
        <v>13702772.810000001</v>
      </c>
      <c r="S5" s="75"/>
      <c r="T5" s="70"/>
      <c r="U5" s="19">
        <f>SUM(U3:U4)</f>
        <v>64023805.409999996</v>
      </c>
      <c r="V5" s="75"/>
    </row>
    <row r="6" spans="1:22" ht="25.5" customHeight="1" x14ac:dyDescent="0.25">
      <c r="A6" s="70" t="s">
        <v>320</v>
      </c>
      <c r="B6" s="70">
        <v>50.64</v>
      </c>
      <c r="C6" s="18">
        <f>C5*B6/100</f>
        <v>6422766.8083199998</v>
      </c>
      <c r="D6" s="75"/>
      <c r="E6" s="70">
        <v>50.64</v>
      </c>
      <c r="F6" s="18">
        <f>F5*E6/100</f>
        <v>8542747.827407999</v>
      </c>
      <c r="G6" s="75"/>
      <c r="H6" s="70">
        <v>50.64</v>
      </c>
      <c r="I6" s="18">
        <f>I5*H6/100</f>
        <v>5727680.684568001</v>
      </c>
      <c r="J6" s="75"/>
      <c r="K6" s="70">
        <v>50.64</v>
      </c>
      <c r="L6" s="18">
        <f>L5*K6/100</f>
        <v>7241051.8737119995</v>
      </c>
      <c r="M6" s="75"/>
      <c r="N6" s="70">
        <v>50.64</v>
      </c>
      <c r="O6" s="18">
        <f>O5*N6/100</f>
        <v>4191264.0315360003</v>
      </c>
      <c r="P6" s="75"/>
      <c r="Q6" s="70">
        <v>50.64</v>
      </c>
      <c r="R6" s="18">
        <f>R5*Q6/100</f>
        <v>6939084.1509840004</v>
      </c>
      <c r="S6" s="75"/>
      <c r="T6" s="70">
        <v>50.64</v>
      </c>
      <c r="U6" s="18">
        <f>U5*T6/100</f>
        <v>32421655.059624001</v>
      </c>
      <c r="V6" s="75"/>
    </row>
    <row r="7" spans="1:22" ht="26.25" customHeight="1" x14ac:dyDescent="0.25">
      <c r="A7" s="70" t="s">
        <v>321</v>
      </c>
      <c r="B7" s="70">
        <v>49.36</v>
      </c>
      <c r="C7" s="18">
        <f>B7*C5/100</f>
        <v>6260421.99168</v>
      </c>
      <c r="D7" s="75"/>
      <c r="E7" s="70">
        <v>49.36</v>
      </c>
      <c r="F7" s="18">
        <f>E7*F5/100</f>
        <v>8326817.3925919998</v>
      </c>
      <c r="G7" s="75"/>
      <c r="H7" s="70">
        <v>49.36</v>
      </c>
      <c r="I7" s="18">
        <f>H7*I5/100</f>
        <v>5582905.1854320001</v>
      </c>
      <c r="J7" s="75"/>
      <c r="K7" s="70">
        <v>49.36</v>
      </c>
      <c r="L7" s="18">
        <f>K7*L5/100</f>
        <v>7058023.7062880006</v>
      </c>
      <c r="M7" s="75"/>
      <c r="N7" s="70">
        <v>49.36</v>
      </c>
      <c r="O7" s="18">
        <f>N7*O5/100</f>
        <v>4085323.7084640004</v>
      </c>
      <c r="P7" s="75"/>
      <c r="Q7" s="70">
        <v>49.36</v>
      </c>
      <c r="R7" s="18">
        <f>Q7*R5/100</f>
        <v>6763688.6590160001</v>
      </c>
      <c r="S7" s="75"/>
      <c r="T7" s="70">
        <v>49.36</v>
      </c>
      <c r="U7" s="18">
        <f>T7*U5/100</f>
        <v>31602150.350375995</v>
      </c>
      <c r="V7" s="75"/>
    </row>
    <row r="8" spans="1:22" ht="26.25" customHeight="1" x14ac:dyDescent="0.25">
      <c r="A8" s="70"/>
      <c r="B8" s="70"/>
      <c r="C8" s="18"/>
      <c r="D8" s="75"/>
      <c r="E8" s="70"/>
      <c r="F8" s="18"/>
      <c r="G8" s="75"/>
      <c r="H8" s="70"/>
      <c r="I8" s="18"/>
      <c r="J8" s="75"/>
      <c r="K8" s="70"/>
      <c r="L8" s="18"/>
      <c r="M8" s="75"/>
      <c r="N8" s="70"/>
      <c r="O8" s="18"/>
      <c r="P8" s="75"/>
      <c r="Q8" s="70"/>
      <c r="R8" s="18"/>
      <c r="S8" s="75"/>
      <c r="T8" s="70"/>
      <c r="U8" s="18"/>
      <c r="V8" s="75"/>
    </row>
    <row r="9" spans="1:22" ht="26.25" customHeight="1" x14ac:dyDescent="0.25">
      <c r="A9" s="70" t="s">
        <v>315</v>
      </c>
      <c r="B9" s="184">
        <f>'[4]эл. факт ООО'!$E$329</f>
        <v>16612622.640000001</v>
      </c>
      <c r="C9" s="168">
        <f>B9/$B$14*100</f>
        <v>23.515996295312046</v>
      </c>
      <c r="D9" s="169">
        <f>$C$7*C9/100</f>
        <v>1472200.6036343693</v>
      </c>
      <c r="E9" s="184">
        <f>'[4]эл. факт ООО'!$E$329</f>
        <v>16612622.640000001</v>
      </c>
      <c r="F9" s="168">
        <f>E9/$B$14*100</f>
        <v>23.515996295312046</v>
      </c>
      <c r="G9" s="169">
        <f>$F$7*F9/100</f>
        <v>1958134.0695593338</v>
      </c>
      <c r="H9" s="184">
        <f>'[4]эл. факт ООО'!$E$329</f>
        <v>16612622.640000001</v>
      </c>
      <c r="I9" s="168">
        <f>H9/$B$14*100</f>
        <v>23.515996295312046</v>
      </c>
      <c r="J9" s="169">
        <f>$I$7*I9/100</f>
        <v>1312875.7765769733</v>
      </c>
      <c r="K9" s="184">
        <f>'[4]эл. факт ООО'!$E$329</f>
        <v>16612622.640000001</v>
      </c>
      <c r="L9" s="168">
        <f>K9/$B$14*100</f>
        <v>23.515996295312046</v>
      </c>
      <c r="M9" s="169">
        <f>$L$7*L9/100</f>
        <v>1659764.5932929323</v>
      </c>
      <c r="N9" s="184">
        <f>'[4]эл. факт ООО'!$E$329</f>
        <v>16612622.640000001</v>
      </c>
      <c r="O9" s="168">
        <f>N9/$B$14*100</f>
        <v>23.515996295312046</v>
      </c>
      <c r="P9" s="169">
        <f>O9*$O$7/100</f>
        <v>960704.57193389907</v>
      </c>
      <c r="Q9" s="184">
        <f>'[4]эл. факт ООО'!$E$329</f>
        <v>16612622.640000001</v>
      </c>
      <c r="R9" s="168">
        <f>Q9/$B$14*100</f>
        <v>23.515996295312046</v>
      </c>
      <c r="S9" s="169">
        <f>R9*$R$7/100</f>
        <v>1590548.7744806437</v>
      </c>
      <c r="T9" s="184">
        <f>'[4]эл. факт ООО'!$E$329</f>
        <v>16612622.640000001</v>
      </c>
      <c r="U9" s="168">
        <f>T9/$B$14*100</f>
        <v>23.515996295312046</v>
      </c>
      <c r="V9" s="169">
        <f>U9*$U$7/100</f>
        <v>7431560.5056333616</v>
      </c>
    </row>
    <row r="10" spans="1:22" ht="30.75" customHeight="1" x14ac:dyDescent="0.25">
      <c r="A10" s="70" t="s">
        <v>322</v>
      </c>
      <c r="B10" s="184">
        <f>'[5]2015 ГОД!!!'!$D$152</f>
        <v>1400281.7947</v>
      </c>
      <c r="C10" s="168">
        <f>B10/$B$14*100</f>
        <v>1.9821687526490459</v>
      </c>
      <c r="D10" s="169">
        <f>$C$7*C10/100</f>
        <v>124092.12850305</v>
      </c>
      <c r="E10" s="184">
        <f>'[5]2015 ГОД!!!'!$D$152</f>
        <v>1400281.7947</v>
      </c>
      <c r="F10" s="168">
        <f t="shared" ref="F10:F13" si="0">E10/$B$14*100</f>
        <v>1.9821687526490459</v>
      </c>
      <c r="G10" s="169">
        <f t="shared" ref="G10:G13" si="1">$F$7*F10/100</f>
        <v>165051.57244610463</v>
      </c>
      <c r="H10" s="184">
        <f>'[5]2015 ГОД!!!'!$D$152</f>
        <v>1400281.7947</v>
      </c>
      <c r="I10" s="168">
        <f t="shared" ref="I10:I13" si="2">H10/$B$14*100</f>
        <v>1.9821687526490459</v>
      </c>
      <c r="J10" s="169">
        <f t="shared" ref="J10:J13" si="3">$I$7*I10/100</f>
        <v>110662.60207565637</v>
      </c>
      <c r="K10" s="184">
        <f>'[5]2015 ГОД!!!'!$D$152</f>
        <v>1400281.7947</v>
      </c>
      <c r="L10" s="168">
        <f t="shared" ref="L10:L13" si="4">K10/$B$14*100</f>
        <v>1.9821687526490459</v>
      </c>
      <c r="M10" s="169">
        <f t="shared" ref="M10:M13" si="5">$L$7*L10/100</f>
        <v>139901.94046060284</v>
      </c>
      <c r="N10" s="184">
        <f>'[5]2015 ГОД!!!'!$D$152</f>
        <v>1400281.7947</v>
      </c>
      <c r="O10" s="168">
        <f t="shared" ref="O10:O13" si="6">N10/$B$14*100</f>
        <v>1.9821687526490459</v>
      </c>
      <c r="P10" s="169">
        <f t="shared" ref="P10:P13" si="7">O10*$O$7/100</f>
        <v>80978.009993736618</v>
      </c>
      <c r="Q10" s="184">
        <f>'[5]2015 ГОД!!!'!$D$152</f>
        <v>1400281.7947</v>
      </c>
      <c r="R10" s="168">
        <f t="shared" ref="R10:R13" si="8">Q10/$B$14*100</f>
        <v>1.9821687526490459</v>
      </c>
      <c r="S10" s="169">
        <f t="shared" ref="S10:S13" si="9">R10*$R$7/100</f>
        <v>134067.72312548241</v>
      </c>
      <c r="T10" s="184">
        <f>'[5]2015 ГОД!!!'!$D$152</f>
        <v>1400281.7947</v>
      </c>
      <c r="U10" s="168">
        <f t="shared" ref="U10:U13" si="10">T10/$B$14*100</f>
        <v>1.9821687526490459</v>
      </c>
      <c r="V10" s="169">
        <f t="shared" ref="V10:V13" si="11">U10*$U$7/100</f>
        <v>626407.94941032398</v>
      </c>
    </row>
    <row r="11" spans="1:22" ht="27" customHeight="1" x14ac:dyDescent="0.25">
      <c r="A11" s="70" t="s">
        <v>323</v>
      </c>
      <c r="B11" s="184">
        <f>'[5]2015 ГОД!!!'!$D$151</f>
        <v>38623911.945028514</v>
      </c>
      <c r="C11" s="168">
        <f t="shared" ref="C11:C13" si="12">B11/$B$14*100</f>
        <v>54.674074641458844</v>
      </c>
      <c r="D11" s="169">
        <f t="shared" ref="D11:D13" si="13">$C$7*C11/100</f>
        <v>3422827.7926014275</v>
      </c>
      <c r="E11" s="184">
        <f>'[5]2015 ГОД!!!'!$D$151</f>
        <v>38623911.945028514</v>
      </c>
      <c r="F11" s="168">
        <f t="shared" si="0"/>
        <v>54.674074641458844</v>
      </c>
      <c r="G11" s="169">
        <f t="shared" si="1"/>
        <v>4552610.3564837268</v>
      </c>
      <c r="H11" s="184">
        <f>'[5]2015 ГОД!!!'!$D$151</f>
        <v>38623911.945028514</v>
      </c>
      <c r="I11" s="168">
        <f t="shared" si="2"/>
        <v>54.674074641458844</v>
      </c>
      <c r="J11" s="169">
        <f t="shared" si="3"/>
        <v>3052401.7482449682</v>
      </c>
      <c r="K11" s="184">
        <f>'[5]2015 ГОД!!!'!$D$151</f>
        <v>38623911.945028514</v>
      </c>
      <c r="L11" s="168">
        <f t="shared" si="4"/>
        <v>54.674074641458844</v>
      </c>
      <c r="M11" s="169">
        <f t="shared" si="5"/>
        <v>3858909.1493877615</v>
      </c>
      <c r="N11" s="184">
        <f>'[5]2015 ГОД!!!'!$D$151</f>
        <v>38623911.945028514</v>
      </c>
      <c r="O11" s="168">
        <f t="shared" si="6"/>
        <v>54.674074641458844</v>
      </c>
      <c r="P11" s="169">
        <f t="shared" si="7"/>
        <v>2233612.9337108224</v>
      </c>
      <c r="Q11" s="184">
        <f>'[5]2015 ГОД!!!'!$D$151</f>
        <v>38623911.945028514</v>
      </c>
      <c r="R11" s="168">
        <f t="shared" si="8"/>
        <v>54.674074641458844</v>
      </c>
      <c r="S11" s="169">
        <f t="shared" si="9"/>
        <v>3697984.1859462946</v>
      </c>
      <c r="T11" s="184">
        <f>'[5]2015 ГОД!!!'!$D$151</f>
        <v>38623911.945028514</v>
      </c>
      <c r="U11" s="168">
        <f t="shared" si="10"/>
        <v>54.674074641458844</v>
      </c>
      <c r="V11" s="169">
        <f t="shared" si="11"/>
        <v>17278183.270870619</v>
      </c>
    </row>
    <row r="12" spans="1:22" ht="27.75" customHeight="1" x14ac:dyDescent="0.25">
      <c r="A12" s="70" t="s">
        <v>324</v>
      </c>
      <c r="B12" s="184">
        <f>'[6]ВОДОСНАБЖЕНИЕ 2015'!$C$82</f>
        <v>6753062.4699999997</v>
      </c>
      <c r="C12" s="168">
        <f t="shared" si="12"/>
        <v>9.5592968953715314</v>
      </c>
      <c r="D12" s="169">
        <f t="shared" si="13"/>
        <v>598452.32508782286</v>
      </c>
      <c r="E12" s="184">
        <f>'[6]ВОДОСНАБЖЕНИЕ 2015'!$C$82</f>
        <v>6753062.4699999997</v>
      </c>
      <c r="F12" s="168">
        <f t="shared" si="0"/>
        <v>9.5592968953715314</v>
      </c>
      <c r="G12" s="169">
        <f t="shared" si="1"/>
        <v>795985.19649330375</v>
      </c>
      <c r="H12" s="184">
        <f>'[6]ВОДОСНАБЖЕНИЕ 2015'!$C$82</f>
        <v>6753062.4699999997</v>
      </c>
      <c r="I12" s="168">
        <f t="shared" si="2"/>
        <v>9.5592968953715314</v>
      </c>
      <c r="J12" s="169">
        <f t="shared" si="3"/>
        <v>533686.48206253746</v>
      </c>
      <c r="K12" s="184">
        <f>'[6]ВОДОСНАБЖЕНИЕ 2015'!$C$82</f>
        <v>6753062.4699999997</v>
      </c>
      <c r="L12" s="168">
        <f t="shared" si="4"/>
        <v>9.5592968953715314</v>
      </c>
      <c r="M12" s="169">
        <f t="shared" si="5"/>
        <v>674697.44102977554</v>
      </c>
      <c r="N12" s="184">
        <f>'[6]ВОДОСНАБЖЕНИЕ 2015'!$C$82</f>
        <v>6753062.4699999997</v>
      </c>
      <c r="O12" s="168">
        <f t="shared" si="6"/>
        <v>9.5592968953715314</v>
      </c>
      <c r="P12" s="169">
        <f t="shared" si="7"/>
        <v>390528.22242907627</v>
      </c>
      <c r="Q12" s="184">
        <f>'[6]ВОДОСНАБЖЕНИЕ 2015'!$C$82</f>
        <v>6753062.4699999997</v>
      </c>
      <c r="R12" s="168">
        <f t="shared" si="8"/>
        <v>9.5592968953715314</v>
      </c>
      <c r="S12" s="169">
        <f t="shared" si="9"/>
        <v>646561.07999391283</v>
      </c>
      <c r="T12" s="184">
        <f>'[6]ВОДОСНАБЖЕНИЕ 2015'!$C$82</f>
        <v>6753062.4699999997</v>
      </c>
      <c r="U12" s="168">
        <f t="shared" si="10"/>
        <v>9.5592968953715314</v>
      </c>
      <c r="V12" s="169">
        <f t="shared" si="11"/>
        <v>3020943.3773141359</v>
      </c>
    </row>
    <row r="13" spans="1:22" ht="22.5" customHeight="1" x14ac:dyDescent="0.25">
      <c r="A13" s="70" t="s">
        <v>325</v>
      </c>
      <c r="B13" s="70">
        <f>'[6]ВОДООТВЕДЕНИЕ 2015'!$C$75</f>
        <v>7254045.5300000003</v>
      </c>
      <c r="C13" s="168">
        <f t="shared" si="12"/>
        <v>10.268463415208529</v>
      </c>
      <c r="D13" s="169">
        <f t="shared" si="13"/>
        <v>642849.14185332996</v>
      </c>
      <c r="E13" s="70">
        <f>'[6]ВОДООТВЕДЕНИЕ 2015'!$C$75</f>
        <v>7254045.5300000003</v>
      </c>
      <c r="F13" s="168">
        <f t="shared" si="0"/>
        <v>10.268463415208529</v>
      </c>
      <c r="G13" s="169">
        <f t="shared" si="1"/>
        <v>855036.1976095303</v>
      </c>
      <c r="H13" s="70">
        <f>'[6]ВОДООТВЕДЕНИЕ 2015'!$C$75</f>
        <v>7254045.5300000003</v>
      </c>
      <c r="I13" s="168">
        <f t="shared" si="2"/>
        <v>10.268463415208529</v>
      </c>
      <c r="J13" s="169">
        <f t="shared" si="3"/>
        <v>573278.57647186483</v>
      </c>
      <c r="K13" s="70">
        <f>'[6]ВОДООТВЕДЕНИЕ 2015'!$C$75</f>
        <v>7254045.5300000003</v>
      </c>
      <c r="L13" s="168">
        <f t="shared" si="4"/>
        <v>10.268463415208529</v>
      </c>
      <c r="M13" s="169">
        <f t="shared" si="5"/>
        <v>724750.58211692842</v>
      </c>
      <c r="N13" s="70">
        <f>'[6]ВОДООТВЕДЕНИЕ 2015'!$C$75</f>
        <v>7254045.5300000003</v>
      </c>
      <c r="O13" s="168">
        <f t="shared" si="6"/>
        <v>10.268463415208529</v>
      </c>
      <c r="P13" s="169">
        <f t="shared" si="7"/>
        <v>419499.97039646626</v>
      </c>
      <c r="Q13" s="70">
        <f>'[6]ВОДООТВЕДЕНИЕ 2015'!$C$75</f>
        <v>7254045.5300000003</v>
      </c>
      <c r="R13" s="168">
        <f t="shared" si="8"/>
        <v>10.268463415208529</v>
      </c>
      <c r="S13" s="169">
        <f t="shared" si="9"/>
        <v>694526.89546966646</v>
      </c>
      <c r="T13" s="70">
        <f>'[6]ВОДООТВЕДЕНИЕ 2015'!$C$75</f>
        <v>7254045.5300000003</v>
      </c>
      <c r="U13" s="168">
        <f t="shared" si="10"/>
        <v>10.268463415208529</v>
      </c>
      <c r="V13" s="169">
        <f t="shared" si="11"/>
        <v>3245055.2471475531</v>
      </c>
    </row>
    <row r="14" spans="1:22" ht="34.5" customHeight="1" thickBot="1" x14ac:dyDescent="0.3">
      <c r="A14" s="170" t="s">
        <v>169</v>
      </c>
      <c r="B14" s="185">
        <f t="shared" ref="B14:V14" si="14">SUM(B9:B13)</f>
        <v>70643924.379728511</v>
      </c>
      <c r="C14" s="171">
        <f t="shared" si="14"/>
        <v>100</v>
      </c>
      <c r="D14" s="172">
        <f t="shared" si="14"/>
        <v>6260421.991679999</v>
      </c>
      <c r="E14" s="185">
        <f t="shared" si="14"/>
        <v>70643924.379728511</v>
      </c>
      <c r="F14" s="171">
        <f t="shared" si="14"/>
        <v>100</v>
      </c>
      <c r="G14" s="172">
        <f t="shared" si="14"/>
        <v>8326817.3925919998</v>
      </c>
      <c r="H14" s="185">
        <f t="shared" si="14"/>
        <v>70643924.379728511</v>
      </c>
      <c r="I14" s="171">
        <f t="shared" si="14"/>
        <v>100</v>
      </c>
      <c r="J14" s="172">
        <f t="shared" si="14"/>
        <v>5582905.1854320001</v>
      </c>
      <c r="K14" s="185">
        <f t="shared" si="14"/>
        <v>70643924.379728511</v>
      </c>
      <c r="L14" s="171">
        <f t="shared" si="14"/>
        <v>100</v>
      </c>
      <c r="M14" s="172">
        <f t="shared" si="14"/>
        <v>7058023.7062880006</v>
      </c>
      <c r="N14" s="185">
        <f t="shared" si="14"/>
        <v>70643924.379728511</v>
      </c>
      <c r="O14" s="171">
        <f t="shared" si="14"/>
        <v>100</v>
      </c>
      <c r="P14" s="172">
        <f t="shared" si="14"/>
        <v>4085323.7084640004</v>
      </c>
      <c r="Q14" s="185">
        <f t="shared" si="14"/>
        <v>70643924.379728511</v>
      </c>
      <c r="R14" s="171">
        <f t="shared" si="14"/>
        <v>100</v>
      </c>
      <c r="S14" s="172">
        <f t="shared" si="14"/>
        <v>6763688.6590160001</v>
      </c>
      <c r="T14" s="185">
        <f t="shared" si="14"/>
        <v>70643924.379728511</v>
      </c>
      <c r="U14" s="171">
        <f t="shared" si="14"/>
        <v>100</v>
      </c>
      <c r="V14" s="172">
        <f t="shared" si="14"/>
        <v>31602150.350375991</v>
      </c>
    </row>
    <row r="16" spans="1:22" ht="45" x14ac:dyDescent="0.25">
      <c r="A16" s="112"/>
      <c r="B16" s="178" t="s">
        <v>329</v>
      </c>
      <c r="C16" s="178" t="s">
        <v>330</v>
      </c>
    </row>
    <row r="17" spans="1:13" ht="24" customHeight="1" x14ac:dyDescent="0.25">
      <c r="A17" s="4" t="s">
        <v>326</v>
      </c>
      <c r="B17" s="11">
        <v>42414254</v>
      </c>
      <c r="C17" s="4">
        <f>10940264.71</f>
        <v>10940264.710000001</v>
      </c>
    </row>
    <row r="18" spans="1:13" ht="23.25" customHeight="1" x14ac:dyDescent="0.25">
      <c r="A18" s="4" t="s">
        <v>327</v>
      </c>
      <c r="B18" s="11">
        <v>14863900.880000001</v>
      </c>
      <c r="C18" s="4">
        <v>664656.44999999995</v>
      </c>
    </row>
    <row r="19" spans="1:13" ht="29.25" customHeight="1" x14ac:dyDescent="0.25">
      <c r="A19" s="4" t="s">
        <v>328</v>
      </c>
      <c r="B19" s="11">
        <v>15701232.76</v>
      </c>
      <c r="C19" s="4">
        <v>3077873.48</v>
      </c>
    </row>
    <row r="20" spans="1:13" ht="17.25" customHeight="1" x14ac:dyDescent="0.25">
      <c r="E20" s="611" t="str">
        <f>B16</f>
        <v>оплата поставщику за 2015</v>
      </c>
      <c r="F20" s="442"/>
      <c r="G20" s="442"/>
      <c r="H20" s="607" t="str">
        <f>C16</f>
        <v>задолженность перед поставщиком</v>
      </c>
      <c r="I20" s="601"/>
      <c r="J20" s="601"/>
      <c r="K20" s="182" t="s">
        <v>336</v>
      </c>
      <c r="L20" s="182"/>
      <c r="M20" s="182"/>
    </row>
    <row r="21" spans="1:13" ht="29.25" customHeight="1" x14ac:dyDescent="0.25">
      <c r="A21" s="609"/>
      <c r="B21" s="610"/>
      <c r="C21" s="4" t="s">
        <v>165</v>
      </c>
      <c r="D21" s="4" t="s">
        <v>166</v>
      </c>
      <c r="E21" s="123" t="s">
        <v>326</v>
      </c>
      <c r="F21" s="123" t="s">
        <v>327</v>
      </c>
      <c r="G21" s="123" t="s">
        <v>328</v>
      </c>
      <c r="H21" s="123" t="s">
        <v>326</v>
      </c>
      <c r="I21" s="123" t="s">
        <v>327</v>
      </c>
      <c r="J21" s="123" t="s">
        <v>328</v>
      </c>
    </row>
    <row r="22" spans="1:13" ht="18.75" x14ac:dyDescent="0.3">
      <c r="A22" s="441" t="s">
        <v>164</v>
      </c>
      <c r="B22" s="441"/>
      <c r="C22" s="30">
        <f>9334.5+2459.2</f>
        <v>11793.7</v>
      </c>
      <c r="D22" s="31">
        <f>C22*100/$C$30</f>
        <v>7.2838736222573752</v>
      </c>
      <c r="E22" s="11">
        <f>$B$17*D22/100</f>
        <v>3089400.6591832433</v>
      </c>
      <c r="F22" s="11">
        <f>$B$18*D22/100</f>
        <v>1082667.7554368018</v>
      </c>
      <c r="G22" s="11">
        <f>$B$19*D22/100</f>
        <v>1143657.9513748738</v>
      </c>
      <c r="H22" s="179">
        <f>D22*$C$17/100</f>
        <v>796875.05541682243</v>
      </c>
      <c r="I22" s="11">
        <f>$C$18*D22/100</f>
        <v>48412.735840182278</v>
      </c>
      <c r="J22" s="11">
        <f>D22*$C$19/100</f>
        <v>224188.41453617514</v>
      </c>
    </row>
    <row r="23" spans="1:13" ht="18.75" x14ac:dyDescent="0.3">
      <c r="A23" s="441" t="s">
        <v>112</v>
      </c>
      <c r="B23" s="441"/>
      <c r="C23" s="33">
        <f>'[2]весь фонд'!$E$338+2974.36</f>
        <v>16619.94000000001</v>
      </c>
      <c r="D23" s="31">
        <f t="shared" ref="D23:D28" si="15">C23*100/$C$30</f>
        <v>10.264594026429391</v>
      </c>
      <c r="E23" s="11">
        <f t="shared" ref="E23:E28" si="16">$B$17*D23/100</f>
        <v>4353650.9824385885</v>
      </c>
      <c r="F23" s="11">
        <f t="shared" ref="F23:F28" si="17">$B$18*D23/100</f>
        <v>1525719.0818228656</v>
      </c>
      <c r="G23" s="11">
        <f t="shared" ref="G23:G28" si="18">$B$19*D23/100</f>
        <v>1611667.7999587345</v>
      </c>
      <c r="H23" s="179">
        <f t="shared" ref="H23:H28" si="19">D23*$C$17/100</f>
        <v>1122973.7578982229</v>
      </c>
      <c r="I23" s="11">
        <f t="shared" ref="I23:I28" si="20">$C$18*D23/100</f>
        <v>68224.28626297765</v>
      </c>
      <c r="J23" s="11">
        <f t="shared" ref="J23:J28" si="21">D23*$C$19/100</f>
        <v>315931.21736913442</v>
      </c>
    </row>
    <row r="24" spans="1:13" ht="18.75" x14ac:dyDescent="0.3">
      <c r="A24" s="441" t="s">
        <v>115</v>
      </c>
      <c r="B24" s="441"/>
      <c r="C24" s="33">
        <f>'[2]весь фонд'!$E$444+1226+96</f>
        <v>9833.3000000000011</v>
      </c>
      <c r="D24" s="31">
        <f t="shared" si="15"/>
        <v>6.0731165359254051</v>
      </c>
      <c r="E24" s="11">
        <f t="shared" si="16"/>
        <v>2575867.0732634026</v>
      </c>
      <c r="F24" s="11">
        <f t="shared" si="17"/>
        <v>902702.02222684189</v>
      </c>
      <c r="G24" s="11">
        <f t="shared" si="18"/>
        <v>953554.1630916968</v>
      </c>
      <c r="H24" s="179">
        <f t="shared" si="19"/>
        <v>664415.02517702163</v>
      </c>
      <c r="I24" s="11">
        <f t="shared" si="20"/>
        <v>40365.360772044769</v>
      </c>
      <c r="J24" s="11">
        <f t="shared" si="21"/>
        <v>186922.8432687427</v>
      </c>
    </row>
    <row r="25" spans="1:13" ht="18.75" x14ac:dyDescent="0.3">
      <c r="A25" s="441" t="s">
        <v>116</v>
      </c>
      <c r="B25" s="441"/>
      <c r="C25" s="33">
        <f>'[2]весь фонд'!$E$614+1554.8</f>
        <v>14080.300000000003</v>
      </c>
      <c r="D25" s="31">
        <f t="shared" si="15"/>
        <v>8.6960941658233235</v>
      </c>
      <c r="E25" s="11">
        <f t="shared" si="16"/>
        <v>3688383.4675714858</v>
      </c>
      <c r="F25" s="11">
        <f t="shared" si="17"/>
        <v>1292578.8172394417</v>
      </c>
      <c r="G25" s="11">
        <f t="shared" si="18"/>
        <v>1365393.9860047004</v>
      </c>
      <c r="H25" s="179">
        <f t="shared" si="19"/>
        <v>951375.721171938</v>
      </c>
      <c r="I25" s="11">
        <f t="shared" si="20"/>
        <v>57799.15077121841</v>
      </c>
      <c r="J25" s="11">
        <f t="shared" si="21"/>
        <v>267654.7761257033</v>
      </c>
    </row>
    <row r="26" spans="1:13" ht="18.75" x14ac:dyDescent="0.3">
      <c r="A26" s="441" t="s">
        <v>155</v>
      </c>
      <c r="B26" s="441"/>
      <c r="C26" s="33">
        <f>'[2]весь фонд'!$E$2149+2396.53</f>
        <v>17245.530000000002</v>
      </c>
      <c r="D26" s="31">
        <f t="shared" si="15"/>
        <v>10.650962892802788</v>
      </c>
      <c r="E26" s="11">
        <f t="shared" si="16"/>
        <v>4517526.4547991222</v>
      </c>
      <c r="F26" s="11">
        <f t="shared" si="17"/>
        <v>1583148.5671517872</v>
      </c>
      <c r="G26" s="11">
        <f t="shared" si="18"/>
        <v>1672332.4749801948</v>
      </c>
      <c r="H26" s="179">
        <f t="shared" si="19"/>
        <v>1165243.5346364987</v>
      </c>
      <c r="I26" s="11">
        <f t="shared" si="20"/>
        <v>70792.3118541203</v>
      </c>
      <c r="J26" s="11">
        <f t="shared" si="21"/>
        <v>327823.16224221786</v>
      </c>
    </row>
    <row r="27" spans="1:13" ht="18.75" x14ac:dyDescent="0.3">
      <c r="A27" s="441" t="s">
        <v>154</v>
      </c>
      <c r="B27" s="441"/>
      <c r="C27" s="33">
        <f>'[2]весь фонд'!$E$1948+1624.7</f>
        <v>12835.600000000002</v>
      </c>
      <c r="D27" s="31">
        <f t="shared" si="15"/>
        <v>7.9273585275059375</v>
      </c>
      <c r="E27" s="11">
        <f t="shared" si="16"/>
        <v>3362329.9813470282</v>
      </c>
      <c r="F27" s="11">
        <f t="shared" si="17"/>
        <v>1178314.7139307102</v>
      </c>
      <c r="G27" s="11">
        <f t="shared" si="18"/>
        <v>1244693.0141234158</v>
      </c>
      <c r="H27" s="179">
        <f t="shared" si="19"/>
        <v>867274.00741990772</v>
      </c>
      <c r="I27" s="11">
        <f t="shared" si="20"/>
        <v>52689.699767693237</v>
      </c>
      <c r="J27" s="11">
        <f t="shared" si="21"/>
        <v>243994.06578262374</v>
      </c>
    </row>
    <row r="28" spans="1:13" ht="18.75" x14ac:dyDescent="0.3">
      <c r="A28" s="441" t="s">
        <v>158</v>
      </c>
      <c r="B28" s="441"/>
      <c r="C28" s="33">
        <f>'[2]весь фонд'!$E$1536+7755.8+1834.47+1543.06</f>
        <v>79506.849999999991</v>
      </c>
      <c r="D28" s="31">
        <f t="shared" si="15"/>
        <v>49.104000229255767</v>
      </c>
      <c r="E28" s="11">
        <f t="shared" si="16"/>
        <v>20827095.381397124</v>
      </c>
      <c r="F28" s="11">
        <f t="shared" si="17"/>
        <v>7298769.922191551</v>
      </c>
      <c r="G28" s="11">
        <f t="shared" si="18"/>
        <v>7709933.3704663813</v>
      </c>
      <c r="H28" s="179">
        <f t="shared" si="19"/>
        <v>5372107.6082795886</v>
      </c>
      <c r="I28" s="11">
        <f t="shared" si="20"/>
        <v>326372.90473176324</v>
      </c>
      <c r="J28" s="11">
        <f t="shared" si="21"/>
        <v>1511359.0006754026</v>
      </c>
    </row>
    <row r="29" spans="1:13" ht="18.75" x14ac:dyDescent="0.3">
      <c r="A29" s="608" t="s">
        <v>215</v>
      </c>
      <c r="B29" s="608"/>
      <c r="C29" s="174"/>
      <c r="D29" s="175"/>
      <c r="E29" s="4"/>
      <c r="F29" s="4"/>
      <c r="G29" s="4"/>
      <c r="H29" s="4"/>
      <c r="I29" s="4"/>
      <c r="J29" s="4"/>
    </row>
    <row r="30" spans="1:13" x14ac:dyDescent="0.25">
      <c r="A30" s="440" t="s">
        <v>169</v>
      </c>
      <c r="B30" s="440"/>
      <c r="C30" s="176">
        <f>SUM(C22:C29)</f>
        <v>161915.22000000003</v>
      </c>
      <c r="D30" s="177">
        <f>SUM(D22:D29)</f>
        <v>99.999999999999986</v>
      </c>
      <c r="E30" s="11">
        <f>SUM(E22:E28)</f>
        <v>42414254</v>
      </c>
      <c r="F30" s="11">
        <f t="shared" ref="F30:J30" si="22">SUM(F22:F28)</f>
        <v>14863900.879999999</v>
      </c>
      <c r="G30" s="11">
        <f t="shared" si="22"/>
        <v>15701232.759999998</v>
      </c>
      <c r="H30" s="11">
        <f t="shared" si="22"/>
        <v>10940264.710000001</v>
      </c>
      <c r="I30" s="11">
        <f t="shared" si="22"/>
        <v>664656.44999999995</v>
      </c>
      <c r="J30" s="11">
        <f t="shared" si="22"/>
        <v>3077873.48</v>
      </c>
    </row>
  </sheetData>
  <mergeCells count="19">
    <mergeCell ref="R2:S2"/>
    <mergeCell ref="U2:V2"/>
    <mergeCell ref="F2:G2"/>
    <mergeCell ref="I2:J2"/>
    <mergeCell ref="L2:M2"/>
    <mergeCell ref="O2:P2"/>
    <mergeCell ref="H20:J20"/>
    <mergeCell ref="A27:B27"/>
    <mergeCell ref="A28:B28"/>
    <mergeCell ref="A29:B29"/>
    <mergeCell ref="A30:B30"/>
    <mergeCell ref="A21:B21"/>
    <mergeCell ref="E20:G20"/>
    <mergeCell ref="A26:B26"/>
    <mergeCell ref="C2:D2"/>
    <mergeCell ref="A22:B22"/>
    <mergeCell ref="A23:B23"/>
    <mergeCell ref="A24:B24"/>
    <mergeCell ref="A25:B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zoomScaleNormal="100" workbookViewId="0">
      <selection activeCell="E9" sqref="E9"/>
    </sheetView>
  </sheetViews>
  <sheetFormatPr defaultRowHeight="15" x14ac:dyDescent="0.25"/>
  <cols>
    <col min="1" max="1" width="3.85546875" customWidth="1"/>
    <col min="2" max="3" width="46.140625" customWidth="1"/>
    <col min="4" max="4" width="10.140625" customWidth="1"/>
    <col min="5" max="5" width="16.7109375" customWidth="1"/>
    <col min="6" max="6" width="15.7109375" customWidth="1"/>
    <col min="7" max="7" width="36.140625" customWidth="1"/>
    <col min="8" max="8" width="19.85546875" customWidth="1"/>
    <col min="9" max="9" width="13.7109375" customWidth="1"/>
  </cols>
  <sheetData>
    <row r="1" spans="1:6" ht="38.25" customHeight="1" x14ac:dyDescent="0.25">
      <c r="A1" s="612" t="s">
        <v>109</v>
      </c>
      <c r="B1" s="612"/>
      <c r="C1" s="612"/>
      <c r="D1" s="612"/>
      <c r="E1" s="612"/>
    </row>
    <row r="2" spans="1:6" ht="45" x14ac:dyDescent="0.25">
      <c r="A2" s="2" t="s">
        <v>0</v>
      </c>
      <c r="B2" s="3" t="s">
        <v>1</v>
      </c>
      <c r="C2" s="3" t="s">
        <v>105</v>
      </c>
      <c r="D2" s="3" t="s">
        <v>2</v>
      </c>
      <c r="E2" s="3" t="s">
        <v>3</v>
      </c>
    </row>
    <row r="3" spans="1:6" x14ac:dyDescent="0.25">
      <c r="A3" s="4" t="s">
        <v>4</v>
      </c>
      <c r="B3" s="271" t="s">
        <v>6</v>
      </c>
      <c r="C3" s="271" t="s">
        <v>106</v>
      </c>
      <c r="D3" s="4" t="s">
        <v>5</v>
      </c>
      <c r="E3" s="4"/>
    </row>
    <row r="4" spans="1:6" x14ac:dyDescent="0.25">
      <c r="A4" s="7" t="s">
        <v>7</v>
      </c>
      <c r="B4" s="271" t="s">
        <v>21</v>
      </c>
      <c r="C4" s="271" t="s">
        <v>107</v>
      </c>
      <c r="D4" s="4" t="s">
        <v>5</v>
      </c>
      <c r="E4" s="4"/>
    </row>
    <row r="5" spans="1:6" x14ac:dyDescent="0.25">
      <c r="A5" s="7" t="s">
        <v>8</v>
      </c>
      <c r="B5" s="271" t="s">
        <v>22</v>
      </c>
      <c r="C5" s="271" t="s">
        <v>108</v>
      </c>
      <c r="D5" s="4" t="s">
        <v>5</v>
      </c>
      <c r="E5" s="4"/>
    </row>
    <row r="6" spans="1:6" ht="30.75" customHeight="1" x14ac:dyDescent="0.25">
      <c r="A6" s="613" t="s">
        <v>366</v>
      </c>
      <c r="B6" s="613"/>
      <c r="C6" s="613"/>
      <c r="D6" s="613"/>
      <c r="E6" s="613"/>
    </row>
    <row r="7" spans="1:6" ht="30" x14ac:dyDescent="0.25">
      <c r="A7" s="4" t="s">
        <v>9</v>
      </c>
      <c r="B7" s="5" t="s">
        <v>43</v>
      </c>
      <c r="C7" s="5"/>
      <c r="D7" s="4" t="s">
        <v>15</v>
      </c>
      <c r="E7" s="4"/>
    </row>
    <row r="8" spans="1:6" x14ac:dyDescent="0.25">
      <c r="A8" s="4" t="s">
        <v>10</v>
      </c>
      <c r="B8" s="5" t="s">
        <v>23</v>
      </c>
      <c r="C8" s="5"/>
      <c r="D8" s="4" t="s">
        <v>15</v>
      </c>
      <c r="E8" s="4">
        <v>0</v>
      </c>
    </row>
    <row r="9" spans="1:6" x14ac:dyDescent="0.25">
      <c r="A9" s="4" t="s">
        <v>11</v>
      </c>
      <c r="B9" s="5" t="s">
        <v>24</v>
      </c>
      <c r="C9" s="5"/>
      <c r="D9" s="4" t="s">
        <v>15</v>
      </c>
      <c r="E9" s="11">
        <f>552315.39+'расчёт на 01.01.2016'!D6</f>
        <v>2058931.6326335147</v>
      </c>
    </row>
    <row r="10" spans="1:6" ht="33.75" customHeight="1" x14ac:dyDescent="0.25">
      <c r="A10" s="4" t="s">
        <v>12</v>
      </c>
      <c r="B10" s="5" t="s">
        <v>25</v>
      </c>
      <c r="C10" s="5"/>
      <c r="D10" s="4" t="s">
        <v>15</v>
      </c>
      <c r="E10" s="11">
        <f>6006460.08</f>
        <v>6006460.0800000001</v>
      </c>
      <c r="F10" t="s">
        <v>365</v>
      </c>
    </row>
    <row r="11" spans="1:6" x14ac:dyDescent="0.25">
      <c r="A11" s="4" t="s">
        <v>13</v>
      </c>
      <c r="B11" s="5" t="s">
        <v>26</v>
      </c>
      <c r="C11" s="5"/>
      <c r="D11" s="4" t="s">
        <v>15</v>
      </c>
      <c r="E11" s="11" t="e">
        <f>E10-E12-E13</f>
        <v>#REF!</v>
      </c>
    </row>
    <row r="12" spans="1:6" x14ac:dyDescent="0.25">
      <c r="A12" s="4" t="s">
        <v>17</v>
      </c>
      <c r="B12" s="5" t="s">
        <v>27</v>
      </c>
      <c r="C12" s="5"/>
      <c r="D12" s="4" t="s">
        <v>15</v>
      </c>
      <c r="E12" s="11">
        <v>0</v>
      </c>
      <c r="F12" t="s">
        <v>364</v>
      </c>
    </row>
    <row r="13" spans="1:6" x14ac:dyDescent="0.25">
      <c r="A13" s="6" t="s">
        <v>18</v>
      </c>
      <c r="B13" s="5" t="s">
        <v>28</v>
      </c>
      <c r="C13" s="5"/>
      <c r="D13" s="4" t="s">
        <v>15</v>
      </c>
      <c r="E13" s="11" t="e">
        <f>(#REF!+#REF!+#REF!+#REF!)/1.18</f>
        <v>#REF!</v>
      </c>
    </row>
    <row r="14" spans="1:6" x14ac:dyDescent="0.25">
      <c r="A14" s="6" t="s">
        <v>19</v>
      </c>
      <c r="B14" s="5" t="s">
        <v>29</v>
      </c>
      <c r="C14" s="5"/>
      <c r="D14" s="4" t="s">
        <v>15</v>
      </c>
      <c r="E14" s="11">
        <f>SUM(E15:E18)</f>
        <v>12683188.800000001</v>
      </c>
    </row>
    <row r="15" spans="1:6" x14ac:dyDescent="0.25">
      <c r="A15" s="6" t="s">
        <v>20</v>
      </c>
      <c r="B15" s="5" t="s">
        <v>30</v>
      </c>
      <c r="C15" s="5"/>
      <c r="D15" s="4" t="s">
        <v>15</v>
      </c>
      <c r="E15" s="11">
        <v>12683188.800000001</v>
      </c>
    </row>
    <row r="16" spans="1:6" x14ac:dyDescent="0.25">
      <c r="A16" s="6" t="s">
        <v>31</v>
      </c>
      <c r="B16" s="5" t="s">
        <v>32</v>
      </c>
      <c r="C16" s="5"/>
      <c r="D16" s="4" t="s">
        <v>15</v>
      </c>
      <c r="E16" s="11">
        <v>0</v>
      </c>
    </row>
    <row r="17" spans="1:6" x14ac:dyDescent="0.25">
      <c r="A17" s="6" t="s">
        <v>33</v>
      </c>
      <c r="B17" s="5" t="s">
        <v>34</v>
      </c>
      <c r="C17" s="5"/>
      <c r="D17" s="4" t="s">
        <v>15</v>
      </c>
      <c r="E17" s="11">
        <v>0</v>
      </c>
    </row>
    <row r="18" spans="1:6" ht="30" x14ac:dyDescent="0.25">
      <c r="A18" s="6" t="s">
        <v>35</v>
      </c>
      <c r="B18" s="5" t="s">
        <v>36</v>
      </c>
      <c r="C18" s="5"/>
      <c r="D18" s="4" t="s">
        <v>15</v>
      </c>
      <c r="E18" s="11">
        <v>0</v>
      </c>
    </row>
    <row r="19" spans="1:6" x14ac:dyDescent="0.25">
      <c r="A19" s="4" t="s">
        <v>38</v>
      </c>
      <c r="B19" s="5" t="s">
        <v>37</v>
      </c>
      <c r="C19" s="5"/>
      <c r="D19" s="4" t="s">
        <v>15</v>
      </c>
      <c r="E19" s="4">
        <v>0</v>
      </c>
    </row>
    <row r="20" spans="1:6" x14ac:dyDescent="0.25">
      <c r="A20" s="4" t="s">
        <v>39</v>
      </c>
      <c r="B20" s="5" t="s">
        <v>40</v>
      </c>
      <c r="C20" s="5"/>
      <c r="D20" s="4" t="s">
        <v>15</v>
      </c>
      <c r="E20" s="11">
        <v>12683188.800000001</v>
      </c>
    </row>
    <row r="21" spans="1:6" ht="30" x14ac:dyDescent="0.25">
      <c r="A21" s="4" t="s">
        <v>41</v>
      </c>
      <c r="B21" s="5" t="s">
        <v>42</v>
      </c>
      <c r="C21" s="5"/>
      <c r="D21" s="4" t="s">
        <v>15</v>
      </c>
      <c r="E21" s="4"/>
    </row>
    <row r="22" spans="1:6" x14ac:dyDescent="0.25">
      <c r="A22" s="4" t="s">
        <v>44</v>
      </c>
      <c r="B22" s="5" t="s">
        <v>23</v>
      </c>
      <c r="C22" s="5"/>
      <c r="D22" s="4" t="s">
        <v>15</v>
      </c>
      <c r="E22" s="4">
        <v>0</v>
      </c>
    </row>
    <row r="23" spans="1:6" x14ac:dyDescent="0.25">
      <c r="A23" s="4" t="s">
        <v>45</v>
      </c>
      <c r="B23" s="5" t="s">
        <v>24</v>
      </c>
      <c r="C23" s="5"/>
      <c r="D23" s="4" t="s">
        <v>15</v>
      </c>
      <c r="E23" s="11">
        <f>11585523.69+E9-E15</f>
        <v>961266.52263351344</v>
      </c>
      <c r="F23" t="s">
        <v>120</v>
      </c>
    </row>
    <row r="24" spans="1:6" ht="44.25" customHeight="1" x14ac:dyDescent="0.25">
      <c r="A24" s="614" t="s">
        <v>46</v>
      </c>
      <c r="B24" s="614"/>
      <c r="C24" s="614"/>
      <c r="D24" s="614"/>
      <c r="E24" s="614"/>
    </row>
    <row r="25" spans="1:6" x14ac:dyDescent="0.25">
      <c r="A25" s="4" t="s">
        <v>47</v>
      </c>
      <c r="B25" s="5" t="s">
        <v>48</v>
      </c>
      <c r="C25" s="5"/>
      <c r="D25" s="4" t="s">
        <v>5</v>
      </c>
      <c r="E25" s="4"/>
    </row>
    <row r="26" spans="1:6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6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6" ht="30" customHeight="1" x14ac:dyDescent="0.25">
      <c r="A28" s="444" t="s">
        <v>53</v>
      </c>
      <c r="B28" s="444"/>
      <c r="C28" s="444"/>
      <c r="D28" s="444"/>
      <c r="E28" s="444"/>
    </row>
    <row r="29" spans="1:6" x14ac:dyDescent="0.25">
      <c r="A29" s="4" t="s">
        <v>54</v>
      </c>
      <c r="B29" s="5" t="s">
        <v>55</v>
      </c>
      <c r="C29" s="5"/>
      <c r="D29" s="4" t="s">
        <v>58</v>
      </c>
      <c r="E29" s="4"/>
    </row>
    <row r="30" spans="1:6" x14ac:dyDescent="0.25">
      <c r="A30" s="4" t="s">
        <v>56</v>
      </c>
      <c r="B30" s="5" t="s">
        <v>57</v>
      </c>
      <c r="C30" s="5"/>
      <c r="D30" s="4" t="s">
        <v>58</v>
      </c>
      <c r="E30" s="4"/>
    </row>
    <row r="31" spans="1:6" ht="30" x14ac:dyDescent="0.25">
      <c r="A31" s="4" t="s">
        <v>59</v>
      </c>
      <c r="B31" s="5" t="s">
        <v>60</v>
      </c>
      <c r="C31" s="5"/>
      <c r="D31" s="4" t="s">
        <v>58</v>
      </c>
      <c r="E31" s="4"/>
    </row>
    <row r="32" spans="1:6" x14ac:dyDescent="0.25">
      <c r="A32" s="4" t="s">
        <v>61</v>
      </c>
      <c r="B32" s="5" t="s">
        <v>62</v>
      </c>
      <c r="C32" s="5"/>
      <c r="D32" s="4" t="s">
        <v>15</v>
      </c>
      <c r="E32" s="4"/>
    </row>
    <row r="33" spans="1:9" x14ac:dyDescent="0.25">
      <c r="A33" s="444" t="s">
        <v>63</v>
      </c>
      <c r="B33" s="444"/>
      <c r="C33" s="444"/>
      <c r="D33" s="444"/>
      <c r="E33" s="444"/>
    </row>
    <row r="34" spans="1:9" ht="30" x14ac:dyDescent="0.25">
      <c r="A34" s="4" t="s">
        <v>64</v>
      </c>
      <c r="B34" s="5" t="s">
        <v>104</v>
      </c>
      <c r="C34" s="5"/>
      <c r="D34" s="4" t="s">
        <v>15</v>
      </c>
      <c r="E34" s="11">
        <f>SUM(E35:E36)</f>
        <v>926201.24598861672</v>
      </c>
    </row>
    <row r="35" spans="1:9" x14ac:dyDescent="0.25">
      <c r="A35" s="4" t="s">
        <v>65</v>
      </c>
      <c r="B35" s="5" t="s">
        <v>66</v>
      </c>
      <c r="C35" s="5"/>
      <c r="D35" s="4" t="s">
        <v>15</v>
      </c>
      <c r="E35" s="11">
        <v>0</v>
      </c>
    </row>
    <row r="36" spans="1:9" x14ac:dyDescent="0.25">
      <c r="A36" s="4" t="s">
        <v>67</v>
      </c>
      <c r="B36" s="5" t="s">
        <v>24</v>
      </c>
      <c r="C36" s="5"/>
      <c r="D36" s="4" t="s">
        <v>15</v>
      </c>
      <c r="E36" s="11">
        <f>'[7]ДЗ встройки'!$K$94+'[7]ДЗ население'!$G$8</f>
        <v>926201.24598861672</v>
      </c>
    </row>
    <row r="37" spans="1:9" ht="30" x14ac:dyDescent="0.25">
      <c r="A37" s="4" t="s">
        <v>68</v>
      </c>
      <c r="B37" s="5" t="s">
        <v>69</v>
      </c>
      <c r="C37" s="5"/>
      <c r="D37" s="4" t="s">
        <v>15</v>
      </c>
      <c r="E37" s="11">
        <f>SUM(E38:E39)</f>
        <v>1086988.6964833364</v>
      </c>
    </row>
    <row r="38" spans="1:9" x14ac:dyDescent="0.25">
      <c r="A38" s="4" t="s">
        <v>70</v>
      </c>
      <c r="B38" s="5" t="s">
        <v>23</v>
      </c>
      <c r="C38" s="5"/>
      <c r="D38" s="4" t="s">
        <v>15</v>
      </c>
      <c r="E38" s="11">
        <v>0</v>
      </c>
    </row>
    <row r="39" spans="1:9" x14ac:dyDescent="0.25">
      <c r="A39" s="4" t="s">
        <v>71</v>
      </c>
      <c r="B39" s="5" t="s">
        <v>24</v>
      </c>
      <c r="C39" s="5"/>
      <c r="D39" s="4" t="s">
        <v>15</v>
      </c>
      <c r="E39" s="11">
        <f>'[7]ДЗ встройки'!$N$94+'[7]ДЗ население'!$J$8</f>
        <v>1086988.6964833364</v>
      </c>
    </row>
    <row r="40" spans="1:9" ht="31.5" customHeight="1" x14ac:dyDescent="0.25">
      <c r="A40" s="444" t="s">
        <v>347</v>
      </c>
      <c r="B40" s="444"/>
      <c r="C40" s="444"/>
      <c r="D40" s="444"/>
      <c r="E40" s="444"/>
    </row>
    <row r="41" spans="1:9" ht="28.5" customHeight="1" x14ac:dyDescent="0.25">
      <c r="A41" s="4" t="s">
        <v>73</v>
      </c>
      <c r="B41" s="5" t="s">
        <v>16</v>
      </c>
      <c r="C41" s="5"/>
      <c r="D41" s="4" t="s">
        <v>5</v>
      </c>
      <c r="E41" s="4" t="s">
        <v>315</v>
      </c>
      <c r="G41" s="1" t="s">
        <v>337</v>
      </c>
      <c r="H41" s="17">
        <f>'[7]ДЗ население'!$J$8+'[7]ДЗ встройки'!$N$94</f>
        <v>1086988.6964833364</v>
      </c>
      <c r="I41" s="9">
        <f>E46+E57+E68+E79+E90</f>
        <v>1086988.6964833364</v>
      </c>
    </row>
    <row r="42" spans="1:9" x14ac:dyDescent="0.25">
      <c r="A42" s="4" t="s">
        <v>74</v>
      </c>
      <c r="B42" s="5" t="s">
        <v>14</v>
      </c>
      <c r="C42" s="5"/>
      <c r="D42" s="4" t="s">
        <v>5</v>
      </c>
      <c r="E42" s="4" t="s">
        <v>316</v>
      </c>
      <c r="G42" t="s">
        <v>334</v>
      </c>
      <c r="H42" s="9">
        <f>'[5]2015 ГОД!!!'!$D$113+'[4]эл. факт ООО'!$Q$329+'[6]ВОДОСНАБЖЕНИЕ 2015'!$C$62+'[6]ВОДООТВЕДЕНИЕ 2015'!$C$57</f>
        <v>6462635.8689040402</v>
      </c>
    </row>
    <row r="43" spans="1:9" x14ac:dyDescent="0.25">
      <c r="A43" s="4" t="s">
        <v>75</v>
      </c>
      <c r="B43" s="5" t="s">
        <v>76</v>
      </c>
      <c r="C43" s="5"/>
      <c r="D43" s="4" t="s">
        <v>77</v>
      </c>
      <c r="E43" s="56">
        <f>'[4]эл. факт ООО'!$P$329</f>
        <v>876537</v>
      </c>
      <c r="G43" t="s">
        <v>338</v>
      </c>
      <c r="H43" s="10">
        <f>'ком ресурсы оплата'!E27+'ком ресурсы оплата'!F27+'ком ресурсы оплата'!G27</f>
        <v>5785337.709401154</v>
      </c>
    </row>
    <row r="44" spans="1:9" ht="30" x14ac:dyDescent="0.25">
      <c r="A44" s="4" t="s">
        <v>78</v>
      </c>
      <c r="B44" s="5" t="s">
        <v>79</v>
      </c>
      <c r="C44" s="5"/>
      <c r="D44" s="4" t="s">
        <v>15</v>
      </c>
      <c r="E44" s="165">
        <f>'[4]эл. факт ООО'!$Q$336</f>
        <v>2026929.39</v>
      </c>
      <c r="G44" s="1" t="s">
        <v>339</v>
      </c>
      <c r="H44" s="10">
        <f>'ком ресурсы оплата'!H27+'ком ресурсы оплата'!I27+'ком ресурсы оплата'!J27</f>
        <v>1163957.7729702247</v>
      </c>
      <c r="I44" s="9"/>
    </row>
    <row r="45" spans="1:9" ht="27" customHeight="1" x14ac:dyDescent="0.25">
      <c r="A45" s="4" t="s">
        <v>80</v>
      </c>
      <c r="B45" s="5" t="s">
        <v>81</v>
      </c>
      <c r="C45" s="5"/>
      <c r="D45" s="4" t="s">
        <v>15</v>
      </c>
      <c r="E45" s="8">
        <f>'ком ресурсы оплата'!D9+400000+200000</f>
        <v>2072200.6036343693</v>
      </c>
      <c r="G45" t="s">
        <v>335</v>
      </c>
      <c r="H45" s="10">
        <f>E49+E60+E71+E82+E93</f>
        <v>1163957.772970225</v>
      </c>
      <c r="I45" s="10">
        <f>H44-H45</f>
        <v>0</v>
      </c>
    </row>
    <row r="46" spans="1:9" ht="21" customHeight="1" x14ac:dyDescent="0.25">
      <c r="A46" s="4" t="s">
        <v>82</v>
      </c>
      <c r="B46" s="5" t="s">
        <v>83</v>
      </c>
      <c r="C46" s="5"/>
      <c r="D46" s="4" t="s">
        <v>15</v>
      </c>
      <c r="E46" s="181">
        <f>H41*H46/100</f>
        <v>341138.40296006488</v>
      </c>
      <c r="F46" s="9"/>
      <c r="G46" s="17">
        <f>E47</f>
        <v>2028220.9800000002</v>
      </c>
      <c r="H46" s="17">
        <f>G46*100/$G$51</f>
        <v>31.383804087726734</v>
      </c>
    </row>
    <row r="47" spans="1:9" ht="30" x14ac:dyDescent="0.25">
      <c r="A47" s="4" t="s">
        <v>84</v>
      </c>
      <c r="B47" s="5" t="s">
        <v>85</v>
      </c>
      <c r="C47" s="5"/>
      <c r="D47" s="4" t="s">
        <v>15</v>
      </c>
      <c r="E47" s="165">
        <f>'[4]эл. факт ООО'!$Q$329</f>
        <v>2028220.9800000002</v>
      </c>
      <c r="F47" s="186">
        <f>E47-E44</f>
        <v>1291.5900000003166</v>
      </c>
      <c r="G47" s="17">
        <f>E58</f>
        <v>726943.25</v>
      </c>
      <c r="H47" s="17">
        <f t="shared" ref="H47:H50" si="0">G47*100/$G$51</f>
        <v>11.248401809202937</v>
      </c>
    </row>
    <row r="48" spans="1:9" ht="30" x14ac:dyDescent="0.25">
      <c r="A48" s="4" t="s">
        <v>86</v>
      </c>
      <c r="B48" s="5" t="s">
        <v>87</v>
      </c>
      <c r="C48" s="5"/>
      <c r="D48" s="4" t="s">
        <v>15</v>
      </c>
      <c r="E48" s="11">
        <f>H46*H43/100</f>
        <v>1815659.0525318354</v>
      </c>
      <c r="G48" s="17">
        <f>E69</f>
        <v>646858.0946999999</v>
      </c>
      <c r="H48" s="17">
        <f t="shared" si="0"/>
        <v>10.009199153745556</v>
      </c>
    </row>
    <row r="49" spans="1:8" ht="30" x14ac:dyDescent="0.25">
      <c r="A49" s="4" t="s">
        <v>88</v>
      </c>
      <c r="B49" s="5" t="s">
        <v>89</v>
      </c>
      <c r="C49" s="5"/>
      <c r="D49" s="4" t="s">
        <v>15</v>
      </c>
      <c r="E49" s="14">
        <f>H46*H44/100</f>
        <v>365294.22713284247</v>
      </c>
      <c r="F49" s="180">
        <f>E47-E48</f>
        <v>212561.92746816482</v>
      </c>
      <c r="G49" s="17">
        <f>E80</f>
        <v>2322473.9942040402</v>
      </c>
      <c r="H49" s="17">
        <f t="shared" si="0"/>
        <v>35.936946492358928</v>
      </c>
    </row>
    <row r="50" spans="1:8" ht="35.25" customHeight="1" x14ac:dyDescent="0.25">
      <c r="A50" s="4" t="s">
        <v>90</v>
      </c>
      <c r="B50" s="5" t="s">
        <v>91</v>
      </c>
      <c r="C50" s="5"/>
      <c r="D50" s="4" t="s">
        <v>15</v>
      </c>
      <c r="E50" s="4">
        <v>0</v>
      </c>
      <c r="G50" s="17">
        <f>E91</f>
        <v>738139.55000000016</v>
      </c>
      <c r="H50" s="17">
        <f t="shared" si="0"/>
        <v>11.421648456965855</v>
      </c>
    </row>
    <row r="51" spans="1:8" x14ac:dyDescent="0.25">
      <c r="A51" s="444" t="s">
        <v>72</v>
      </c>
      <c r="B51" s="444"/>
      <c r="C51" s="444"/>
      <c r="D51" s="444"/>
      <c r="E51" s="444"/>
      <c r="G51" s="17">
        <f>SUM(G46:G50)</f>
        <v>6462635.8689040402</v>
      </c>
      <c r="H51" s="17">
        <f>SUM(H46:H50)</f>
        <v>100.00000000000001</v>
      </c>
    </row>
    <row r="52" spans="1:8" x14ac:dyDescent="0.25">
      <c r="A52" s="4" t="s">
        <v>73</v>
      </c>
      <c r="B52" s="5" t="s">
        <v>16</v>
      </c>
      <c r="C52" s="5"/>
      <c r="D52" s="4" t="s">
        <v>5</v>
      </c>
      <c r="E52" s="4" t="s">
        <v>332</v>
      </c>
    </row>
    <row r="53" spans="1:8" x14ac:dyDescent="0.25">
      <c r="A53" s="4" t="s">
        <v>74</v>
      </c>
      <c r="B53" s="5" t="s">
        <v>14</v>
      </c>
      <c r="C53" s="5"/>
      <c r="D53" s="4" t="s">
        <v>5</v>
      </c>
      <c r="E53" s="4" t="s">
        <v>331</v>
      </c>
    </row>
    <row r="54" spans="1:8" x14ac:dyDescent="0.25">
      <c r="A54" s="4" t="s">
        <v>75</v>
      </c>
      <c r="B54" s="5" t="s">
        <v>76</v>
      </c>
      <c r="C54" s="5"/>
      <c r="D54" s="4" t="s">
        <v>77</v>
      </c>
      <c r="E54" s="56">
        <f>'[6]ВОДООТВЕДЕНИЕ 2015'!$C$57/39.51</f>
        <v>18682.347506960268</v>
      </c>
    </row>
    <row r="55" spans="1:8" x14ac:dyDescent="0.25">
      <c r="A55" s="4" t="s">
        <v>78</v>
      </c>
      <c r="B55" s="5" t="s">
        <v>79</v>
      </c>
      <c r="C55" s="5"/>
      <c r="D55" s="4" t="s">
        <v>15</v>
      </c>
      <c r="E55" s="165">
        <f>'[6]ВОДООТВЕДЕНИЕ 2015'!$C$53</f>
        <v>742048.35</v>
      </c>
    </row>
    <row r="56" spans="1:8" x14ac:dyDescent="0.25">
      <c r="A56" s="4" t="s">
        <v>80</v>
      </c>
      <c r="B56" s="5" t="s">
        <v>81</v>
      </c>
      <c r="C56" s="5"/>
      <c r="D56" s="4" t="s">
        <v>15</v>
      </c>
      <c r="E56" s="8">
        <f>'ком ресурсы оплата'!D12</f>
        <v>598452.32508782286</v>
      </c>
    </row>
    <row r="57" spans="1:8" x14ac:dyDescent="0.25">
      <c r="A57" s="4" t="s">
        <v>82</v>
      </c>
      <c r="B57" s="5" t="s">
        <v>83</v>
      </c>
      <c r="C57" s="5"/>
      <c r="D57" s="4" t="s">
        <v>15</v>
      </c>
      <c r="E57" s="165">
        <f>H41*H47/100</f>
        <v>122268.85620106304</v>
      </c>
      <c r="F57" s="9"/>
    </row>
    <row r="58" spans="1:8" ht="30" x14ac:dyDescent="0.25">
      <c r="A58" s="4" t="s">
        <v>84</v>
      </c>
      <c r="B58" s="5" t="s">
        <v>85</v>
      </c>
      <c r="C58" s="5"/>
      <c r="D58" s="4" t="s">
        <v>15</v>
      </c>
      <c r="E58" s="165">
        <f>'[6]ВОДОСНАБЖЕНИЕ 2015'!$C$62</f>
        <v>726943.25</v>
      </c>
      <c r="F58" s="9"/>
    </row>
    <row r="59" spans="1:8" ht="30" x14ac:dyDescent="0.25">
      <c r="A59" s="4" t="s">
        <v>86</v>
      </c>
      <c r="B59" s="5" t="s">
        <v>87</v>
      </c>
      <c r="C59" s="5"/>
      <c r="D59" s="4" t="s">
        <v>15</v>
      </c>
      <c r="E59" s="11">
        <f>H47*H43/100</f>
        <v>650758.03157277917</v>
      </c>
    </row>
    <row r="60" spans="1:8" ht="30" x14ac:dyDescent="0.25">
      <c r="A60" s="4" t="s">
        <v>88</v>
      </c>
      <c r="B60" s="5" t="s">
        <v>89</v>
      </c>
      <c r="C60" s="5"/>
      <c r="D60" s="4" t="s">
        <v>15</v>
      </c>
      <c r="E60" s="14">
        <f>H47*H44/100</f>
        <v>130926.64719314096</v>
      </c>
    </row>
    <row r="61" spans="1:8" ht="45" x14ac:dyDescent="0.25">
      <c r="A61" s="4" t="s">
        <v>90</v>
      </c>
      <c r="B61" s="5" t="s">
        <v>91</v>
      </c>
      <c r="C61" s="5"/>
      <c r="D61" s="4" t="s">
        <v>15</v>
      </c>
      <c r="E61" s="4"/>
    </row>
    <row r="62" spans="1:8" x14ac:dyDescent="0.25">
      <c r="A62" s="444" t="s">
        <v>72</v>
      </c>
      <c r="B62" s="444"/>
      <c r="C62" s="444"/>
      <c r="D62" s="444"/>
      <c r="E62" s="444"/>
    </row>
    <row r="63" spans="1:8" x14ac:dyDescent="0.25">
      <c r="A63" s="4" t="s">
        <v>73</v>
      </c>
      <c r="B63" s="5" t="s">
        <v>16</v>
      </c>
      <c r="C63" s="5"/>
      <c r="D63" s="4" t="s">
        <v>5</v>
      </c>
      <c r="E63" s="4" t="s">
        <v>333</v>
      </c>
    </row>
    <row r="64" spans="1:8" x14ac:dyDescent="0.25">
      <c r="A64" s="4" t="s">
        <v>74</v>
      </c>
      <c r="B64" s="5" t="s">
        <v>14</v>
      </c>
      <c r="C64" s="5"/>
      <c r="D64" s="4" t="s">
        <v>5</v>
      </c>
      <c r="E64" s="4" t="s">
        <v>331</v>
      </c>
    </row>
    <row r="65" spans="1:6" x14ac:dyDescent="0.25">
      <c r="A65" s="4" t="s">
        <v>75</v>
      </c>
      <c r="B65" s="5" t="s">
        <v>76</v>
      </c>
      <c r="C65" s="5"/>
      <c r="D65" s="4" t="s">
        <v>77</v>
      </c>
      <c r="E65" s="11">
        <f>'[5]2015 ГОД!!!'!$D$115/157.24</f>
        <v>4113.8266007377251</v>
      </c>
    </row>
    <row r="66" spans="1:6" x14ac:dyDescent="0.25">
      <c r="A66" s="4" t="s">
        <v>78</v>
      </c>
      <c r="B66" s="5" t="s">
        <v>79</v>
      </c>
      <c r="C66" s="5"/>
      <c r="D66" s="4" t="s">
        <v>15</v>
      </c>
      <c r="E66" s="11">
        <f>'[5]2015 ГОД!!!'!$D$107</f>
        <v>565365.15</v>
      </c>
    </row>
    <row r="67" spans="1:6" x14ac:dyDescent="0.25">
      <c r="A67" s="4" t="s">
        <v>80</v>
      </c>
      <c r="B67" s="5" t="s">
        <v>81</v>
      </c>
      <c r="C67" s="5"/>
      <c r="D67" s="4" t="s">
        <v>15</v>
      </c>
      <c r="E67" s="11">
        <f>'ком ресурсы оплата'!D10+400000</f>
        <v>524092.12850305001</v>
      </c>
    </row>
    <row r="68" spans="1:6" x14ac:dyDescent="0.25">
      <c r="A68" s="4" t="s">
        <v>82</v>
      </c>
      <c r="B68" s="5" t="s">
        <v>83</v>
      </c>
      <c r="C68" s="5"/>
      <c r="D68" s="4" t="s">
        <v>15</v>
      </c>
      <c r="E68" s="11">
        <f>H48*H41/100</f>
        <v>108798.86340971995</v>
      </c>
    </row>
    <row r="69" spans="1:6" ht="30" x14ac:dyDescent="0.25">
      <c r="A69" s="4" t="s">
        <v>84</v>
      </c>
      <c r="B69" s="5" t="s">
        <v>85</v>
      </c>
      <c r="C69" s="5"/>
      <c r="D69" s="4" t="s">
        <v>15</v>
      </c>
      <c r="E69" s="11">
        <f>'[5]2015 ГОД!!!'!$D$115</f>
        <v>646858.0946999999</v>
      </c>
      <c r="F69" s="10"/>
    </row>
    <row r="70" spans="1:6" ht="30" x14ac:dyDescent="0.25">
      <c r="A70" s="4" t="s">
        <v>86</v>
      </c>
      <c r="B70" s="5" t="s">
        <v>87</v>
      </c>
      <c r="C70" s="5"/>
      <c r="D70" s="4" t="s">
        <v>15</v>
      </c>
      <c r="E70" s="11">
        <f>H48*H43/100</f>
        <v>579065.97305070283</v>
      </c>
    </row>
    <row r="71" spans="1:6" ht="30" x14ac:dyDescent="0.25">
      <c r="A71" s="4" t="s">
        <v>88</v>
      </c>
      <c r="B71" s="5" t="s">
        <v>89</v>
      </c>
      <c r="C71" s="5"/>
      <c r="D71" s="4" t="s">
        <v>15</v>
      </c>
      <c r="E71" s="14">
        <f>H48*H44/100</f>
        <v>116502.85156209135</v>
      </c>
    </row>
    <row r="72" spans="1:6" ht="45" x14ac:dyDescent="0.25">
      <c r="A72" s="4" t="s">
        <v>90</v>
      </c>
      <c r="B72" s="5" t="s">
        <v>91</v>
      </c>
      <c r="C72" s="5"/>
      <c r="D72" s="4" t="s">
        <v>15</v>
      </c>
      <c r="E72" s="4"/>
    </row>
    <row r="73" spans="1:6" x14ac:dyDescent="0.25">
      <c r="A73" s="444" t="s">
        <v>72</v>
      </c>
      <c r="B73" s="444"/>
      <c r="C73" s="444"/>
      <c r="D73" s="444"/>
      <c r="E73" s="444"/>
    </row>
    <row r="74" spans="1:6" x14ac:dyDescent="0.25">
      <c r="A74" s="4" t="s">
        <v>73</v>
      </c>
      <c r="B74" s="5" t="s">
        <v>16</v>
      </c>
      <c r="C74" s="5"/>
      <c r="D74" s="4" t="s">
        <v>5</v>
      </c>
      <c r="E74" s="4" t="s">
        <v>323</v>
      </c>
    </row>
    <row r="75" spans="1:6" x14ac:dyDescent="0.25">
      <c r="A75" s="4" t="s">
        <v>74</v>
      </c>
      <c r="B75" s="5" t="s">
        <v>14</v>
      </c>
      <c r="C75" s="5"/>
      <c r="D75" s="4" t="s">
        <v>5</v>
      </c>
      <c r="E75" s="4" t="s">
        <v>331</v>
      </c>
    </row>
    <row r="76" spans="1:6" x14ac:dyDescent="0.25">
      <c r="A76" s="4" t="s">
        <v>75</v>
      </c>
      <c r="B76" s="5" t="s">
        <v>76</v>
      </c>
      <c r="C76" s="5"/>
      <c r="D76" s="4" t="s">
        <v>77</v>
      </c>
      <c r="E76" s="11">
        <f>'[5]2015 ГОД!!!'!$D$114/1574.43</f>
        <v>1475.1205161258615</v>
      </c>
    </row>
    <row r="77" spans="1:6" x14ac:dyDescent="0.25">
      <c r="A77" s="4" t="s">
        <v>78</v>
      </c>
      <c r="B77" s="5" t="s">
        <v>79</v>
      </c>
      <c r="C77" s="5"/>
      <c r="D77" s="4" t="s">
        <v>15</v>
      </c>
      <c r="E77" s="11">
        <f>'[5]2015 ГОД!!!'!$D$114</f>
        <v>2322473.9942040402</v>
      </c>
    </row>
    <row r="78" spans="1:6" x14ac:dyDescent="0.25">
      <c r="A78" s="4" t="s">
        <v>80</v>
      </c>
      <c r="B78" s="5" t="s">
        <v>81</v>
      </c>
      <c r="C78" s="5"/>
      <c r="D78" s="4" t="s">
        <v>15</v>
      </c>
      <c r="E78" s="11">
        <f>'ком ресурсы оплата'!D11-400000-400000-300000</f>
        <v>2322827.7926014275</v>
      </c>
    </row>
    <row r="79" spans="1:6" x14ac:dyDescent="0.25">
      <c r="A79" s="4" t="s">
        <v>82</v>
      </c>
      <c r="B79" s="5" t="s">
        <v>83</v>
      </c>
      <c r="C79" s="5"/>
      <c r="D79" s="4" t="s">
        <v>15</v>
      </c>
      <c r="E79" s="11">
        <f>H41*H49/100</f>
        <v>390630.54623320641</v>
      </c>
    </row>
    <row r="80" spans="1:6" ht="30" x14ac:dyDescent="0.25">
      <c r="A80" s="4" t="s">
        <v>84</v>
      </c>
      <c r="B80" s="5" t="s">
        <v>85</v>
      </c>
      <c r="C80" s="5"/>
      <c r="D80" s="4" t="s">
        <v>15</v>
      </c>
      <c r="E80" s="11">
        <f>'[5]2015 ГОД!!!'!$D$114</f>
        <v>2322473.9942040402</v>
      </c>
    </row>
    <row r="81" spans="1:6" ht="30" x14ac:dyDescent="0.25">
      <c r="A81" s="4" t="s">
        <v>86</v>
      </c>
      <c r="B81" s="5" t="s">
        <v>87</v>
      </c>
      <c r="C81" s="5"/>
      <c r="D81" s="4" t="s">
        <v>15</v>
      </c>
      <c r="E81" s="11">
        <f>H49*H43/100</f>
        <v>2079073.7170297564</v>
      </c>
      <c r="F81" s="58"/>
    </row>
    <row r="82" spans="1:6" ht="30" x14ac:dyDescent="0.25">
      <c r="A82" s="4" t="s">
        <v>88</v>
      </c>
      <c r="B82" s="5" t="s">
        <v>89</v>
      </c>
      <c r="C82" s="5"/>
      <c r="D82" s="4" t="s">
        <v>15</v>
      </c>
      <c r="E82" s="14">
        <f>H49*H44/100</f>
        <v>418290.88206596224</v>
      </c>
      <c r="F82" s="58"/>
    </row>
    <row r="83" spans="1:6" ht="45" x14ac:dyDescent="0.25">
      <c r="A83" s="4" t="s">
        <v>90</v>
      </c>
      <c r="B83" s="5" t="s">
        <v>91</v>
      </c>
      <c r="C83" s="5"/>
      <c r="D83" s="4" t="s">
        <v>15</v>
      </c>
      <c r="E83" s="4"/>
    </row>
    <row r="84" spans="1:6" x14ac:dyDescent="0.25">
      <c r="A84" s="444" t="s">
        <v>72</v>
      </c>
      <c r="B84" s="444"/>
      <c r="C84" s="444"/>
      <c r="D84" s="444"/>
      <c r="E84" s="444"/>
    </row>
    <row r="85" spans="1:6" x14ac:dyDescent="0.25">
      <c r="A85" s="4" t="s">
        <v>73</v>
      </c>
      <c r="B85" s="5" t="s">
        <v>16</v>
      </c>
      <c r="C85" s="5"/>
      <c r="D85" s="4" t="s">
        <v>5</v>
      </c>
      <c r="E85" s="4" t="s">
        <v>325</v>
      </c>
    </row>
    <row r="86" spans="1:6" x14ac:dyDescent="0.25">
      <c r="A86" s="4" t="s">
        <v>74</v>
      </c>
      <c r="B86" s="5" t="s">
        <v>14</v>
      </c>
      <c r="C86" s="5"/>
      <c r="D86" s="4" t="s">
        <v>5</v>
      </c>
      <c r="E86" s="4" t="s">
        <v>331</v>
      </c>
    </row>
    <row r="87" spans="1:6" x14ac:dyDescent="0.25">
      <c r="A87" s="4" t="s">
        <v>75</v>
      </c>
      <c r="B87" s="5" t="s">
        <v>76</v>
      </c>
      <c r="C87" s="5"/>
      <c r="D87" s="4" t="s">
        <v>77</v>
      </c>
      <c r="E87" s="11">
        <f>'[6]ВОДОСНАБЖЕНИЕ 2015'!$C$62/40.82</f>
        <v>17808.506859382655</v>
      </c>
    </row>
    <row r="88" spans="1:6" x14ac:dyDescent="0.25">
      <c r="A88" s="4" t="s">
        <v>78</v>
      </c>
      <c r="B88" s="5" t="s">
        <v>79</v>
      </c>
      <c r="C88" s="5"/>
      <c r="D88" s="4" t="s">
        <v>15</v>
      </c>
      <c r="E88" s="11">
        <f>'[6]ВОДООТВЕДЕНИЕ 2015'!$C$53</f>
        <v>742048.35</v>
      </c>
    </row>
    <row r="89" spans="1:6" x14ac:dyDescent="0.25">
      <c r="A89" s="4" t="s">
        <v>80</v>
      </c>
      <c r="B89" s="5" t="s">
        <v>81</v>
      </c>
      <c r="C89" s="5"/>
      <c r="D89" s="4" t="s">
        <v>15</v>
      </c>
      <c r="E89" s="11">
        <f>'ком ресурсы оплата'!D13+100000</f>
        <v>742849.14185332996</v>
      </c>
    </row>
    <row r="90" spans="1:6" x14ac:dyDescent="0.25">
      <c r="A90" s="4" t="s">
        <v>82</v>
      </c>
      <c r="B90" s="5" t="s">
        <v>83</v>
      </c>
      <c r="C90" s="5"/>
      <c r="D90" s="4" t="s">
        <v>15</v>
      </c>
      <c r="E90" s="11">
        <f>H50*H41/100</f>
        <v>124152.02767928224</v>
      </c>
    </row>
    <row r="91" spans="1:6" ht="30" x14ac:dyDescent="0.25">
      <c r="A91" s="4" t="s">
        <v>84</v>
      </c>
      <c r="B91" s="5" t="s">
        <v>85</v>
      </c>
      <c r="C91" s="5"/>
      <c r="D91" s="4" t="s">
        <v>15</v>
      </c>
      <c r="E91" s="11">
        <f>'[6]ВОДООТВЕДЕНИЕ 2015'!$C$57</f>
        <v>738139.55000000016</v>
      </c>
    </row>
    <row r="92" spans="1:6" ht="30" x14ac:dyDescent="0.25">
      <c r="A92" s="4" t="s">
        <v>86</v>
      </c>
      <c r="B92" s="5" t="s">
        <v>87</v>
      </c>
      <c r="C92" s="5"/>
      <c r="D92" s="4" t="s">
        <v>15</v>
      </c>
      <c r="E92" s="11">
        <f>H50*H43/100</f>
        <v>660780.93521608063</v>
      </c>
    </row>
    <row r="93" spans="1:6" ht="30" x14ac:dyDescent="0.25">
      <c r="A93" s="4" t="s">
        <v>88</v>
      </c>
      <c r="B93" s="5" t="s">
        <v>89</v>
      </c>
      <c r="C93" s="5"/>
      <c r="D93" s="4" t="s">
        <v>15</v>
      </c>
      <c r="E93" s="14">
        <f>H50*H44/100</f>
        <v>132943.16501618779</v>
      </c>
    </row>
    <row r="94" spans="1:6" ht="45" x14ac:dyDescent="0.25">
      <c r="A94" s="4" t="s">
        <v>90</v>
      </c>
      <c r="B94" s="5" t="s">
        <v>91</v>
      </c>
      <c r="C94" s="5"/>
      <c r="D94" s="4" t="s">
        <v>15</v>
      </c>
      <c r="E94" s="4"/>
    </row>
    <row r="95" spans="1:6" x14ac:dyDescent="0.25">
      <c r="A95" s="4"/>
      <c r="B95" s="5"/>
      <c r="C95" s="5"/>
      <c r="D95" s="4"/>
      <c r="E95" s="4"/>
    </row>
    <row r="96" spans="1:6" x14ac:dyDescent="0.25">
      <c r="A96" s="4"/>
      <c r="B96" s="5"/>
      <c r="C96" s="5"/>
      <c r="D96" s="4"/>
      <c r="E96" s="4"/>
    </row>
    <row r="97" spans="1:5" x14ac:dyDescent="0.25">
      <c r="A97" s="4"/>
      <c r="B97" s="5"/>
      <c r="C97" s="5"/>
      <c r="D97" s="4"/>
      <c r="E97" s="4"/>
    </row>
    <row r="98" spans="1:5" x14ac:dyDescent="0.25">
      <c r="A98" s="4"/>
      <c r="B98" s="5"/>
      <c r="C98" s="5"/>
      <c r="D98" s="4"/>
      <c r="E98" s="4"/>
    </row>
    <row r="99" spans="1:5" ht="27.75" customHeight="1" x14ac:dyDescent="0.25">
      <c r="A99" s="444" t="s">
        <v>92</v>
      </c>
      <c r="B99" s="444"/>
      <c r="C99" s="444"/>
      <c r="D99" s="444"/>
      <c r="E99" s="444"/>
    </row>
    <row r="100" spans="1:5" x14ac:dyDescent="0.25">
      <c r="A100" s="4" t="s">
        <v>93</v>
      </c>
      <c r="B100" s="5" t="s">
        <v>55</v>
      </c>
      <c r="C100" s="5"/>
      <c r="D100" s="4" t="s">
        <v>58</v>
      </c>
      <c r="E100" s="4"/>
    </row>
    <row r="101" spans="1:5" x14ac:dyDescent="0.25">
      <c r="A101" s="4" t="s">
        <v>94</v>
      </c>
      <c r="B101" s="5" t="s">
        <v>57</v>
      </c>
      <c r="C101" s="5"/>
      <c r="D101" s="4" t="s">
        <v>58</v>
      </c>
      <c r="E101" s="4"/>
    </row>
    <row r="102" spans="1:5" ht="30" x14ac:dyDescent="0.25">
      <c r="A102" s="4" t="s">
        <v>95</v>
      </c>
      <c r="B102" s="5" t="s">
        <v>60</v>
      </c>
      <c r="C102" s="5"/>
      <c r="D102" s="4" t="s">
        <v>58</v>
      </c>
      <c r="E102" s="4"/>
    </row>
    <row r="103" spans="1:5" x14ac:dyDescent="0.25">
      <c r="A103" s="4" t="s">
        <v>96</v>
      </c>
      <c r="B103" s="5" t="s">
        <v>62</v>
      </c>
      <c r="C103" s="5"/>
      <c r="D103" s="4" t="s">
        <v>15</v>
      </c>
      <c r="E103" s="4"/>
    </row>
    <row r="104" spans="1:5" ht="26.25" customHeight="1" x14ac:dyDescent="0.25">
      <c r="A104" s="444" t="s">
        <v>97</v>
      </c>
      <c r="B104" s="444"/>
      <c r="C104" s="444"/>
      <c r="D104" s="444"/>
      <c r="E104" s="444"/>
    </row>
    <row r="105" spans="1:5" ht="30" x14ac:dyDescent="0.25">
      <c r="A105" s="4" t="s">
        <v>98</v>
      </c>
      <c r="B105" s="5" t="s">
        <v>99</v>
      </c>
      <c r="C105" s="5"/>
      <c r="D105" s="4" t="s">
        <v>58</v>
      </c>
      <c r="E105" s="4"/>
    </row>
    <row r="106" spans="1:5" x14ac:dyDescent="0.25">
      <c r="A106" s="4" t="s">
        <v>100</v>
      </c>
      <c r="B106" s="5" t="s">
        <v>101</v>
      </c>
      <c r="C106" s="5"/>
      <c r="D106" s="4" t="s">
        <v>58</v>
      </c>
      <c r="E106" s="4"/>
    </row>
    <row r="107" spans="1:5" ht="30" x14ac:dyDescent="0.25">
      <c r="A107" s="4" t="s">
        <v>102</v>
      </c>
      <c r="B107" s="5" t="s">
        <v>103</v>
      </c>
      <c r="C107" s="5"/>
      <c r="D107" s="4" t="s">
        <v>15</v>
      </c>
      <c r="E107" s="4"/>
    </row>
    <row r="108" spans="1:5" x14ac:dyDescent="0.25">
      <c r="B108" s="1"/>
      <c r="C108" s="1"/>
    </row>
    <row r="109" spans="1:5" x14ac:dyDescent="0.25">
      <c r="B109" s="1"/>
      <c r="C109" s="1"/>
    </row>
    <row r="110" spans="1:5" x14ac:dyDescent="0.25">
      <c r="B110" s="1"/>
      <c r="C110" s="1"/>
    </row>
    <row r="111" spans="1:5" x14ac:dyDescent="0.25">
      <c r="B111" s="1"/>
      <c r="C111" s="1"/>
    </row>
    <row r="112" spans="1:5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</sheetData>
  <mergeCells count="12">
    <mergeCell ref="A104:E104"/>
    <mergeCell ref="A1:E1"/>
    <mergeCell ref="A6:E6"/>
    <mergeCell ref="A24:E24"/>
    <mergeCell ref="A28:E28"/>
    <mergeCell ref="A33:E33"/>
    <mergeCell ref="A40:E40"/>
    <mergeCell ref="A51:E51"/>
    <mergeCell ref="A62:E62"/>
    <mergeCell ref="A73:E73"/>
    <mergeCell ref="A84:E84"/>
    <mergeCell ref="A99:E99"/>
  </mergeCells>
  <pageMargins left="0.70866141732283472" right="0.70866141732283472" top="0.74803149606299213" bottom="0.74803149606299213" header="0.31496062992125984" footer="0.31496062992125984"/>
  <pageSetup paperSize="9" scale="32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B1" sqref="B1:G10"/>
    </sheetView>
  </sheetViews>
  <sheetFormatPr defaultRowHeight="15" x14ac:dyDescent="0.25"/>
  <cols>
    <col min="1" max="1" width="8.42578125" customWidth="1"/>
    <col min="3" max="3" width="20.5703125" customWidth="1"/>
    <col min="4" max="4" width="13.85546875" customWidth="1"/>
    <col min="5" max="5" width="16.7109375" customWidth="1"/>
    <col min="6" max="6" width="15.5703125" customWidth="1"/>
    <col min="7" max="7" width="16.28515625" customWidth="1"/>
    <col min="8" max="8" width="15.5703125" customWidth="1"/>
  </cols>
  <sheetData>
    <row r="1" spans="2:7" ht="55.5" customHeight="1" x14ac:dyDescent="0.3">
      <c r="B1" s="506" t="s">
        <v>167</v>
      </c>
      <c r="C1" s="506"/>
      <c r="D1" s="30" t="s">
        <v>165</v>
      </c>
      <c r="E1" s="30" t="s">
        <v>166</v>
      </c>
      <c r="F1" s="30">
        <v>45915.25</v>
      </c>
      <c r="G1" t="s">
        <v>170</v>
      </c>
    </row>
    <row r="2" spans="2:7" ht="51.75" customHeight="1" x14ac:dyDescent="0.3">
      <c r="B2" s="441" t="s">
        <v>164</v>
      </c>
      <c r="C2" s="441"/>
      <c r="D2" s="30">
        <v>9334.5</v>
      </c>
      <c r="E2" s="31">
        <f>D2*100/$D$9</f>
        <v>6.7421305695978981</v>
      </c>
      <c r="F2" s="32">
        <f>E2*$F$1/100</f>
        <v>3095.6661063572992</v>
      </c>
      <c r="G2" s="9">
        <f>F2*12</f>
        <v>37147.993276287591</v>
      </c>
    </row>
    <row r="3" spans="2:7" ht="46.5" customHeight="1" x14ac:dyDescent="0.3">
      <c r="B3" s="441" t="s">
        <v>112</v>
      </c>
      <c r="C3" s="441"/>
      <c r="D3" s="33">
        <f>'[2]весь фонд'!$E$338</f>
        <v>13645.580000000009</v>
      </c>
      <c r="E3" s="31">
        <f t="shared" ref="E3:E8" si="0">D3*100/$D$9</f>
        <v>9.8559410849958482</v>
      </c>
      <c r="F3" s="32">
        <f t="shared" ref="F3:F8" si="1">E3*$F$1/100</f>
        <v>4525.3799890285563</v>
      </c>
      <c r="G3" s="9">
        <f t="shared" ref="G3:G8" si="2">F3*12</f>
        <v>54304.55986834268</v>
      </c>
    </row>
    <row r="4" spans="2:7" ht="41.25" customHeight="1" x14ac:dyDescent="0.3">
      <c r="B4" s="441" t="s">
        <v>115</v>
      </c>
      <c r="C4" s="441"/>
      <c r="D4" s="33">
        <f>'[2]весь фонд'!$E$444</f>
        <v>8511.3000000000011</v>
      </c>
      <c r="E4" s="31">
        <f t="shared" si="0"/>
        <v>6.1475489760585571</v>
      </c>
      <c r="F4" s="32">
        <f t="shared" si="1"/>
        <v>2822.6624812297268</v>
      </c>
      <c r="G4" s="9">
        <f t="shared" si="2"/>
        <v>33871.949774756722</v>
      </c>
    </row>
    <row r="5" spans="2:7" ht="39" customHeight="1" x14ac:dyDescent="0.3">
      <c r="B5" s="441" t="s">
        <v>116</v>
      </c>
      <c r="C5" s="441"/>
      <c r="D5" s="33">
        <f>'[2]весь фонд'!$E$614</f>
        <v>12525.500000000004</v>
      </c>
      <c r="E5" s="31">
        <f t="shared" si="0"/>
        <v>9.0469287534949387</v>
      </c>
      <c r="F5" s="32">
        <f t="shared" si="1"/>
        <v>4153.9199544890844</v>
      </c>
      <c r="G5" s="9">
        <f t="shared" si="2"/>
        <v>49847.039453869016</v>
      </c>
    </row>
    <row r="6" spans="2:7" ht="36.75" customHeight="1" x14ac:dyDescent="0.3">
      <c r="B6" s="441" t="s">
        <v>155</v>
      </c>
      <c r="C6" s="441"/>
      <c r="D6" s="33">
        <f>'[2]весь фонд'!$E$2149</f>
        <v>14849.000000000004</v>
      </c>
      <c r="E6" s="31">
        <f t="shared" si="0"/>
        <v>10.725148302314985</v>
      </c>
      <c r="F6" s="32">
        <f t="shared" si="1"/>
        <v>4924.4786558786809</v>
      </c>
      <c r="G6" s="9">
        <f t="shared" si="2"/>
        <v>59093.743870544175</v>
      </c>
    </row>
    <row r="7" spans="2:7" ht="36" customHeight="1" x14ac:dyDescent="0.3">
      <c r="B7" s="441" t="s">
        <v>154</v>
      </c>
      <c r="C7" s="441"/>
      <c r="D7" s="33">
        <f>'[2]весь фонд'!$E$1948</f>
        <v>11210.900000000001</v>
      </c>
      <c r="E7" s="31">
        <f t="shared" si="0"/>
        <v>8.0974183515673133</v>
      </c>
      <c r="F7" s="32">
        <f t="shared" si="1"/>
        <v>3717.9498796680109</v>
      </c>
      <c r="G7" s="9">
        <f t="shared" si="2"/>
        <v>44615.398556016131</v>
      </c>
    </row>
    <row r="8" spans="2:7" ht="39.75" customHeight="1" x14ac:dyDescent="0.3">
      <c r="B8" s="441" t="s">
        <v>158</v>
      </c>
      <c r="C8" s="441"/>
      <c r="D8" s="33">
        <f>'[2]весь фонд'!$E$1536</f>
        <v>68373.51999999999</v>
      </c>
      <c r="E8" s="31">
        <f t="shared" si="0"/>
        <v>49.384883961970459</v>
      </c>
      <c r="F8" s="32">
        <f t="shared" si="1"/>
        <v>22675.192933348641</v>
      </c>
      <c r="G8" s="9">
        <f t="shared" si="2"/>
        <v>272102.31520018366</v>
      </c>
    </row>
    <row r="9" spans="2:7" ht="48" customHeight="1" x14ac:dyDescent="0.3">
      <c r="B9" s="507" t="s">
        <v>169</v>
      </c>
      <c r="C9" s="508"/>
      <c r="D9" s="30">
        <f>SUM(D2:D8)</f>
        <v>138450.30000000002</v>
      </c>
      <c r="E9" s="30">
        <f>SUM(E2:E8)</f>
        <v>100</v>
      </c>
      <c r="F9" s="34">
        <f>SUM(F2:F8)</f>
        <v>45915.25</v>
      </c>
      <c r="G9" s="9">
        <f>SUM(G2:G8)</f>
        <v>550983</v>
      </c>
    </row>
    <row r="10" spans="2:7" ht="18.75" x14ac:dyDescent="0.3">
      <c r="B10" s="35"/>
      <c r="C10" s="35" t="s">
        <v>168</v>
      </c>
      <c r="D10" s="36">
        <f>F9/D9</f>
        <v>0.3316370567633295</v>
      </c>
      <c r="E10" s="35"/>
      <c r="F10" s="35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F3" sqref="F3"/>
    </sheetView>
  </sheetViews>
  <sheetFormatPr defaultRowHeight="15" x14ac:dyDescent="0.25"/>
  <cols>
    <col min="1" max="1" width="8.42578125" customWidth="1"/>
    <col min="3" max="3" width="20.5703125" customWidth="1"/>
    <col min="4" max="4" width="13.85546875" customWidth="1"/>
    <col min="5" max="6" width="16.7109375" customWidth="1"/>
    <col min="7" max="7" width="15.5703125" customWidth="1"/>
    <col min="8" max="8" width="16.28515625" customWidth="1"/>
    <col min="9" max="9" width="15.5703125" customWidth="1"/>
    <col min="10" max="10" width="17" customWidth="1"/>
    <col min="11" max="11" width="13.42578125" customWidth="1"/>
  </cols>
  <sheetData>
    <row r="1" spans="2:12" ht="55.5" customHeight="1" x14ac:dyDescent="0.3">
      <c r="B1" s="506" t="s">
        <v>376</v>
      </c>
      <c r="C1" s="506"/>
      <c r="D1" s="30" t="s">
        <v>377</v>
      </c>
      <c r="E1" s="30" t="s">
        <v>166</v>
      </c>
      <c r="F1" s="30" t="s">
        <v>380</v>
      </c>
      <c r="G1" s="30"/>
      <c r="H1" t="s">
        <v>170</v>
      </c>
    </row>
    <row r="2" spans="2:12" ht="33" customHeight="1" x14ac:dyDescent="0.3">
      <c r="B2" s="615" t="s">
        <v>164</v>
      </c>
      <c r="C2" s="616"/>
      <c r="D2" s="274">
        <f>39.76-3.15</f>
        <v>36.61</v>
      </c>
      <c r="E2" s="274">
        <f>D2/H2*100</f>
        <v>92.077464788732399</v>
      </c>
      <c r="F2" s="274">
        <f>5808966.66-27313</f>
        <v>5781653.6600000001</v>
      </c>
      <c r="G2" s="275">
        <f>E2*F2/100</f>
        <v>5323600.1129929582</v>
      </c>
      <c r="H2" s="17">
        <f>D2+D3</f>
        <v>39.76</v>
      </c>
    </row>
    <row r="3" spans="2:12" ht="23.25" customHeight="1" x14ac:dyDescent="0.3">
      <c r="B3" s="617"/>
      <c r="C3" s="618"/>
      <c r="D3" s="274">
        <v>3.15</v>
      </c>
      <c r="E3" s="274">
        <f>D3/H2*100</f>
        <v>7.922535211267606</v>
      </c>
      <c r="F3" s="274"/>
      <c r="G3" s="275">
        <f>F2-G2</f>
        <v>458053.54700704198</v>
      </c>
      <c r="H3" s="17"/>
    </row>
    <row r="4" spans="2:12" ht="24.75" customHeight="1" x14ac:dyDescent="0.3">
      <c r="B4" s="615" t="s">
        <v>112</v>
      </c>
      <c r="C4" s="616"/>
      <c r="D4" s="274">
        <f>39.76-3.15</f>
        <v>36.61</v>
      </c>
      <c r="E4" s="274">
        <f>D4/H4*100</f>
        <v>92.077464788732399</v>
      </c>
      <c r="F4" s="274">
        <v>7993168</v>
      </c>
      <c r="G4" s="275">
        <f>E4*F4/100</f>
        <v>7359906.4507042253</v>
      </c>
      <c r="H4" s="17">
        <v>39.76</v>
      </c>
    </row>
    <row r="5" spans="2:12" ht="22.5" customHeight="1" x14ac:dyDescent="0.3">
      <c r="B5" s="617"/>
      <c r="C5" s="618"/>
      <c r="D5" s="274">
        <v>3.15</v>
      </c>
      <c r="E5" s="274">
        <f>100-E4</f>
        <v>7.9225352112676006</v>
      </c>
      <c r="F5" s="274"/>
      <c r="G5" s="275">
        <f>E5*F4/100</f>
        <v>633261.5492957742</v>
      </c>
      <c r="H5" s="17"/>
    </row>
    <row r="6" spans="2:12" ht="21.75" customHeight="1" x14ac:dyDescent="0.3">
      <c r="B6" s="615" t="s">
        <v>115</v>
      </c>
      <c r="C6" s="616"/>
      <c r="D6" s="274">
        <f>39-3.15</f>
        <v>35.85</v>
      </c>
      <c r="E6" s="274">
        <f>D6/H6*100</f>
        <v>91.923076923076934</v>
      </c>
      <c r="F6" s="274">
        <v>4775841.93</v>
      </c>
      <c r="G6" s="275">
        <f>E6*F6/100</f>
        <v>4390100.8510384616</v>
      </c>
      <c r="H6" s="17">
        <v>39</v>
      </c>
    </row>
    <row r="7" spans="2:12" ht="20.25" customHeight="1" x14ac:dyDescent="0.3">
      <c r="B7" s="617"/>
      <c r="C7" s="618"/>
      <c r="D7" s="274">
        <f>3.15</f>
        <v>3.15</v>
      </c>
      <c r="E7" s="274">
        <f>100-E6</f>
        <v>8.076923076923066</v>
      </c>
      <c r="F7" s="274"/>
      <c r="G7" s="275">
        <f>E7*F6/100</f>
        <v>385741.07896153792</v>
      </c>
      <c r="H7" s="17"/>
    </row>
    <row r="8" spans="2:12" ht="24.75" customHeight="1" x14ac:dyDescent="0.3">
      <c r="B8" s="615" t="s">
        <v>116</v>
      </c>
      <c r="C8" s="616"/>
      <c r="D8" s="274">
        <f>39.41-3.15</f>
        <v>36.26</v>
      </c>
      <c r="E8" s="274">
        <f>D8/H8*100</f>
        <v>92.007104795737121</v>
      </c>
      <c r="F8" s="274">
        <f>6810183.63-35888</f>
        <v>6774295.6299999999</v>
      </c>
      <c r="G8" s="275">
        <f>E8*F8/100</f>
        <v>6232833.2794671403</v>
      </c>
      <c r="H8" s="17">
        <f>D8+D9</f>
        <v>39.409999999999997</v>
      </c>
    </row>
    <row r="9" spans="2:12" ht="24.75" customHeight="1" x14ac:dyDescent="0.3">
      <c r="B9" s="617"/>
      <c r="C9" s="618"/>
      <c r="D9" s="274">
        <v>3.15</v>
      </c>
      <c r="E9" s="274">
        <f>100-E8</f>
        <v>7.9928952042628794</v>
      </c>
      <c r="F9" s="274"/>
      <c r="G9" s="275">
        <f>E9*F8/100</f>
        <v>541462.3505328598</v>
      </c>
      <c r="H9" s="17"/>
    </row>
    <row r="10" spans="2:12" ht="22.5" customHeight="1" x14ac:dyDescent="0.3">
      <c r="B10" s="615" t="s">
        <v>155</v>
      </c>
      <c r="C10" s="616"/>
      <c r="D10" s="274">
        <f>33.91-3.15</f>
        <v>30.759999999999998</v>
      </c>
      <c r="E10" s="274">
        <f>D10/H10*100</f>
        <v>90.710704806841647</v>
      </c>
      <c r="F10" s="274">
        <v>7026075.9800000004</v>
      </c>
      <c r="G10" s="275">
        <f>E10*F10/100</f>
        <v>6373403.0417222073</v>
      </c>
      <c r="H10" s="17">
        <f>D10+D11</f>
        <v>33.909999999999997</v>
      </c>
    </row>
    <row r="11" spans="2:12" ht="24" customHeight="1" x14ac:dyDescent="0.3">
      <c r="B11" s="617"/>
      <c r="C11" s="618"/>
      <c r="D11" s="274">
        <v>3.15</v>
      </c>
      <c r="E11" s="274">
        <f>100-E10</f>
        <v>9.2892951931583525</v>
      </c>
      <c r="F11" s="274"/>
      <c r="G11" s="275">
        <f>E11*F10/100</f>
        <v>652672.9382777937</v>
      </c>
      <c r="H11" s="17"/>
    </row>
    <row r="12" spans="2:12" ht="24.75" customHeight="1" x14ac:dyDescent="0.3">
      <c r="B12" s="615" t="s">
        <v>378</v>
      </c>
      <c r="C12" s="616"/>
      <c r="D12" s="274">
        <f>38.55-3.15</f>
        <v>35.4</v>
      </c>
      <c r="E12" s="274">
        <f>D12/H12*100</f>
        <v>91.828793774319067</v>
      </c>
      <c r="F12" s="274">
        <v>3104348.32</v>
      </c>
      <c r="G12" s="275">
        <f>E12*F12/100</f>
        <v>2850685.6168093383</v>
      </c>
      <c r="H12" s="17">
        <f>D12+D13</f>
        <v>38.549999999999997</v>
      </c>
    </row>
    <row r="13" spans="2:12" ht="22.5" customHeight="1" x14ac:dyDescent="0.3">
      <c r="B13" s="617"/>
      <c r="C13" s="618"/>
      <c r="D13" s="274">
        <v>3.15</v>
      </c>
      <c r="E13" s="274">
        <f>100-E12</f>
        <v>8.1712062256809332</v>
      </c>
      <c r="F13" s="274"/>
      <c r="G13" s="275">
        <f>E13*F12/100</f>
        <v>253662.70319066144</v>
      </c>
      <c r="H13" s="17"/>
    </row>
    <row r="14" spans="2:12" ht="22.5" customHeight="1" x14ac:dyDescent="0.3">
      <c r="B14" s="615" t="s">
        <v>379</v>
      </c>
      <c r="C14" s="616"/>
      <c r="D14" s="274">
        <f>39.41-3.15</f>
        <v>36.26</v>
      </c>
      <c r="E14" s="274">
        <f>D14/H14*100</f>
        <v>92.007104795737121</v>
      </c>
      <c r="F14" s="274">
        <v>3104348.32</v>
      </c>
      <c r="G14" s="275">
        <f>E14*F14/100</f>
        <v>2856221.0120071047</v>
      </c>
      <c r="H14" s="17">
        <f>D14+D15</f>
        <v>39.409999999999997</v>
      </c>
      <c r="K14">
        <f>76510.58</f>
        <v>76510.58</v>
      </c>
      <c r="L14" s="65">
        <f>K14/K16*100</f>
        <v>95.770627893062155</v>
      </c>
    </row>
    <row r="15" spans="2:12" ht="22.5" customHeight="1" x14ac:dyDescent="0.3">
      <c r="B15" s="617"/>
      <c r="C15" s="618"/>
      <c r="D15" s="274">
        <v>3.15</v>
      </c>
      <c r="E15" s="274">
        <f>100-E14</f>
        <v>7.9928952042628794</v>
      </c>
      <c r="F15" s="274"/>
      <c r="G15" s="275">
        <f>E15*F14/100</f>
        <v>248127.30799289525</v>
      </c>
      <c r="H15" s="17"/>
      <c r="K15">
        <f>3378.82</f>
        <v>3378.82</v>
      </c>
      <c r="L15" s="65">
        <f>100-L14</f>
        <v>4.2293721069378449</v>
      </c>
    </row>
    <row r="16" spans="2:12" ht="27" customHeight="1" x14ac:dyDescent="0.3">
      <c r="B16" s="615" t="s">
        <v>158</v>
      </c>
      <c r="C16" s="616"/>
      <c r="D16" s="274">
        <f>33.91-3.15</f>
        <v>30.759999999999998</v>
      </c>
      <c r="E16" s="274">
        <f>D16/H16*100</f>
        <v>90.710704806841647</v>
      </c>
      <c r="F16" s="274">
        <f>J16*L14/100-169471</f>
        <v>33813040.210033119</v>
      </c>
      <c r="G16" s="275">
        <f>E16*F16/100</f>
        <v>30672047.091141809</v>
      </c>
      <c r="H16" s="17">
        <f>D16+D17</f>
        <v>33.909999999999997</v>
      </c>
      <c r="J16">
        <v>35483229</v>
      </c>
      <c r="K16">
        <f>SUM(K14:K15)</f>
        <v>79889.400000000009</v>
      </c>
      <c r="L16" s="65">
        <f>SUM(L14:L15)</f>
        <v>100</v>
      </c>
    </row>
    <row r="17" spans="2:8" ht="27" customHeight="1" x14ac:dyDescent="0.3">
      <c r="B17" s="619"/>
      <c r="C17" s="620"/>
      <c r="D17" s="274">
        <v>3.15</v>
      </c>
      <c r="E17" s="274">
        <f>100-E16</f>
        <v>9.2892951931583525</v>
      </c>
      <c r="F17" s="274"/>
      <c r="G17" s="275">
        <f>E17*F16/100</f>
        <v>3140993.1188913072</v>
      </c>
      <c r="H17" s="17"/>
    </row>
    <row r="18" spans="2:8" ht="30.75" customHeight="1" x14ac:dyDescent="0.3">
      <c r="B18" s="615" t="s">
        <v>158</v>
      </c>
      <c r="C18" s="616"/>
      <c r="D18" s="274">
        <f>28.95-3.15</f>
        <v>25.8</v>
      </c>
      <c r="E18" s="274">
        <f>D18/H18*100</f>
        <v>89.119170984455963</v>
      </c>
      <c r="F18" s="274">
        <f>J16*L15/100</f>
        <v>1500717.7899668803</v>
      </c>
      <c r="G18" s="275">
        <f>E18*F18/100</f>
        <v>1337427.2532347327</v>
      </c>
      <c r="H18" s="17">
        <f>D18+D19</f>
        <v>28.95</v>
      </c>
    </row>
    <row r="19" spans="2:8" ht="24" customHeight="1" x14ac:dyDescent="0.3">
      <c r="B19" s="619"/>
      <c r="C19" s="620"/>
      <c r="D19" s="274">
        <v>3.15</v>
      </c>
      <c r="E19" s="274">
        <f>100-E18</f>
        <v>10.880829015544037</v>
      </c>
      <c r="F19" s="274"/>
      <c r="G19" s="275">
        <f>E19*F18/100</f>
        <v>163290.53673214754</v>
      </c>
      <c r="H19" s="10"/>
    </row>
    <row r="20" spans="2:8" ht="26.25" customHeight="1" x14ac:dyDescent="0.3">
      <c r="B20" s="507" t="s">
        <v>169</v>
      </c>
      <c r="C20" s="508"/>
      <c r="D20" s="274">
        <f>SUM(D2:D16)</f>
        <v>300.56</v>
      </c>
      <c r="E20" s="274">
        <f>SUM(E2:E16)</f>
        <v>790.7107048068417</v>
      </c>
      <c r="F20" s="274"/>
      <c r="G20" s="274">
        <f>SUM(G2:G19)</f>
        <v>73873489.840000004</v>
      </c>
      <c r="H20" s="10"/>
    </row>
    <row r="21" spans="2:8" ht="18.75" x14ac:dyDescent="0.3">
      <c r="B21" s="35"/>
      <c r="C21" s="35"/>
      <c r="D21" s="276"/>
      <c r="E21" s="277"/>
      <c r="F21" s="277"/>
      <c r="G21" s="277"/>
      <c r="H21" s="10"/>
    </row>
  </sheetData>
  <mergeCells count="11">
    <mergeCell ref="B1:C1"/>
    <mergeCell ref="B14:C15"/>
    <mergeCell ref="B16:C17"/>
    <mergeCell ref="B18:C19"/>
    <mergeCell ref="B20:C20"/>
    <mergeCell ref="B2:C3"/>
    <mergeCell ref="B4:C5"/>
    <mergeCell ref="B6:C7"/>
    <mergeCell ref="B8:C9"/>
    <mergeCell ref="B12:C13"/>
    <mergeCell ref="B10:C1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workbookViewId="0">
      <selection activeCell="J3" sqref="J3"/>
    </sheetView>
  </sheetViews>
  <sheetFormatPr defaultRowHeight="15" x14ac:dyDescent="0.25"/>
  <cols>
    <col min="2" max="2" width="23.140625" customWidth="1"/>
    <col min="3" max="3" width="21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C1" t="s">
        <v>165</v>
      </c>
      <c r="D1" t="s">
        <v>166</v>
      </c>
      <c r="E1" s="122" t="s">
        <v>454</v>
      </c>
      <c r="F1" s="122" t="s">
        <v>231</v>
      </c>
      <c r="G1" s="122" t="s">
        <v>455</v>
      </c>
      <c r="H1" s="122" t="s">
        <v>449</v>
      </c>
      <c r="I1" s="122"/>
      <c r="J1" t="s">
        <v>450</v>
      </c>
      <c r="K1" s="162" t="s">
        <v>451</v>
      </c>
      <c r="L1" s="162" t="s">
        <v>452</v>
      </c>
      <c r="M1" s="162" t="s">
        <v>453</v>
      </c>
    </row>
    <row r="2" spans="1:13" ht="27.75" customHeight="1" x14ac:dyDescent="0.3">
      <c r="A2" s="441" t="s">
        <v>164</v>
      </c>
      <c r="B2" s="441"/>
      <c r="C2" s="298">
        <v>2399979.48</v>
      </c>
      <c r="D2" s="31">
        <f>C2/$C$9*100</f>
        <v>11.312291577788805</v>
      </c>
      <c r="E2" s="284">
        <f>D2*$E$9/100</f>
        <v>348178.02245303517</v>
      </c>
      <c r="F2" s="284">
        <f>C2</f>
        <v>2399979.48</v>
      </c>
      <c r="G2" s="284">
        <f>D2*$G$9/100</f>
        <v>2333438.3433681722</v>
      </c>
      <c r="H2" s="10">
        <f>D2*$H$9/100</f>
        <v>414719.17831575876</v>
      </c>
      <c r="I2" s="10">
        <f>E2+F2-G2</f>
        <v>414719.15908486303</v>
      </c>
      <c r="J2" s="10">
        <f>D2*$J$9/100</f>
        <v>4458254.8296631211</v>
      </c>
      <c r="K2" s="65">
        <f>D2*$K$9/100</f>
        <v>2333438.3433681722</v>
      </c>
      <c r="L2" s="10">
        <f>D2*$L$9/100</f>
        <v>861074.15424901084</v>
      </c>
      <c r="M2" s="10">
        <f>D2*$M$9/100</f>
        <v>810914.49477819446</v>
      </c>
    </row>
    <row r="3" spans="1:13" ht="27" customHeight="1" x14ac:dyDescent="0.3">
      <c r="A3" s="441" t="s">
        <v>112</v>
      </c>
      <c r="B3" s="441"/>
      <c r="C3" s="298">
        <v>2469024.11</v>
      </c>
      <c r="D3" s="31">
        <f t="shared" ref="D3:D8" si="0">C3/$C$9*100</f>
        <v>11.637733104664086</v>
      </c>
      <c r="E3" s="284">
        <f t="shared" ref="E3:E8" si="1">D3*$E$9/100</f>
        <v>358194.70090163656</v>
      </c>
      <c r="F3" s="284">
        <f t="shared" ref="F3:F8" si="2">C3</f>
        <v>2469024.11</v>
      </c>
      <c r="G3" s="284">
        <f t="shared" ref="G3:G8" si="3">D3*$G$9/100</f>
        <v>2400568.6619347576</v>
      </c>
      <c r="H3" s="10">
        <f t="shared" ref="H3:H8" si="4">D3*$H$9/100</f>
        <v>426650.16875102511</v>
      </c>
      <c r="I3" s="10">
        <f t="shared" ref="I3:I8" si="5">E3+F3-G3</f>
        <v>426650.14896687865</v>
      </c>
      <c r="J3" s="10">
        <f t="shared" ref="J3:J8" si="6">D3*$J$9/100</f>
        <v>4586513.657592685</v>
      </c>
      <c r="K3" s="65">
        <f t="shared" ref="K3:K8" si="7">D3*$K$9/100</f>
        <v>2400568.6619347576</v>
      </c>
      <c r="L3" s="10">
        <f t="shared" ref="L3:L8" si="8">D3*$L$9/100</f>
        <v>885846.26037663734</v>
      </c>
      <c r="M3" s="10">
        <f t="shared" ref="M3:M8" si="9">D3*$M$9/100</f>
        <v>834243.56559741555</v>
      </c>
    </row>
    <row r="4" spans="1:13" ht="30.75" customHeight="1" x14ac:dyDescent="0.3">
      <c r="A4" s="441" t="s">
        <v>115</v>
      </c>
      <c r="B4" s="441"/>
      <c r="C4" s="298">
        <v>931157.69</v>
      </c>
      <c r="D4" s="31">
        <f t="shared" si="0"/>
        <v>4.3890072319202824</v>
      </c>
      <c r="E4" s="284">
        <f t="shared" si="1"/>
        <v>135088.08962655647</v>
      </c>
      <c r="F4" s="284">
        <f t="shared" si="2"/>
        <v>931157.69</v>
      </c>
      <c r="G4" s="284">
        <f t="shared" si="3"/>
        <v>905340.68131621438</v>
      </c>
      <c r="H4" s="10">
        <f t="shared" si="4"/>
        <v>160905.10577165434</v>
      </c>
      <c r="I4" s="10">
        <f t="shared" si="5"/>
        <v>160905.09831034206</v>
      </c>
      <c r="J4" s="10">
        <f t="shared" si="6"/>
        <v>1729739.0678608865</v>
      </c>
      <c r="K4" s="65">
        <f t="shared" si="7"/>
        <v>905340.68131621438</v>
      </c>
      <c r="L4" s="10">
        <f t="shared" si="8"/>
        <v>334084.44825087109</v>
      </c>
      <c r="M4" s="10">
        <f t="shared" si="9"/>
        <v>314623.2182556747</v>
      </c>
    </row>
    <row r="5" spans="1:13" ht="26.25" customHeight="1" x14ac:dyDescent="0.3">
      <c r="A5" s="441" t="s">
        <v>116</v>
      </c>
      <c r="B5" s="441"/>
      <c r="C5" s="298">
        <v>2224555.0699999998</v>
      </c>
      <c r="D5" s="31">
        <f t="shared" si="0"/>
        <v>10.485429476542185</v>
      </c>
      <c r="E5" s="284">
        <f t="shared" si="1"/>
        <v>322728.25312259473</v>
      </c>
      <c r="F5" s="284">
        <f t="shared" si="2"/>
        <v>2224555.0699999998</v>
      </c>
      <c r="G5" s="284">
        <f t="shared" si="3"/>
        <v>2162877.6998010282</v>
      </c>
      <c r="H5" s="10">
        <f t="shared" si="4"/>
        <v>384405.64114679652</v>
      </c>
      <c r="I5" s="10">
        <f t="shared" si="5"/>
        <v>384405.62332156627</v>
      </c>
      <c r="J5" s="10">
        <f t="shared" si="6"/>
        <v>4132382.5754873049</v>
      </c>
      <c r="K5" s="65">
        <f t="shared" si="7"/>
        <v>2162877.6998010282</v>
      </c>
      <c r="L5" s="10">
        <f t="shared" si="8"/>
        <v>798134.68883517245</v>
      </c>
      <c r="M5" s="10">
        <f t="shared" si="9"/>
        <v>751641.40599040489</v>
      </c>
    </row>
    <row r="6" spans="1:13" ht="28.5" customHeight="1" x14ac:dyDescent="0.3">
      <c r="A6" s="441" t="s">
        <v>155</v>
      </c>
      <c r="B6" s="441"/>
      <c r="C6" s="298">
        <v>2875998.64</v>
      </c>
      <c r="D6" s="31">
        <f t="shared" si="0"/>
        <v>13.556005567599295</v>
      </c>
      <c r="E6" s="284">
        <f t="shared" si="1"/>
        <v>417236.70031246217</v>
      </c>
      <c r="F6" s="284">
        <f t="shared" si="2"/>
        <v>2875998.64</v>
      </c>
      <c r="G6" s="284">
        <f t="shared" si="3"/>
        <v>2796259.5338734793</v>
      </c>
      <c r="H6" s="10">
        <f t="shared" si="4"/>
        <v>496975.82948419196</v>
      </c>
      <c r="I6" s="10">
        <f t="shared" si="5"/>
        <v>496975.80643898295</v>
      </c>
      <c r="J6" s="10">
        <f t="shared" si="6"/>
        <v>5342518.5230686096</v>
      </c>
      <c r="K6" s="65">
        <f t="shared" si="7"/>
        <v>2796259.5338734793</v>
      </c>
      <c r="L6" s="10">
        <f t="shared" si="8"/>
        <v>1031862.1959881529</v>
      </c>
      <c r="M6" s="10">
        <f t="shared" si="9"/>
        <v>971753.71855194971</v>
      </c>
    </row>
    <row r="7" spans="1:13" ht="26.25" customHeight="1" x14ac:dyDescent="0.3">
      <c r="A7" s="441" t="s">
        <v>154</v>
      </c>
      <c r="B7" s="441"/>
      <c r="C7" s="298">
        <v>2371777.46</v>
      </c>
      <c r="D7" s="31">
        <f t="shared" si="0"/>
        <v>11.179361494018826</v>
      </c>
      <c r="E7" s="284">
        <f t="shared" si="1"/>
        <v>344086.60265773721</v>
      </c>
      <c r="F7" s="284">
        <f t="shared" si="2"/>
        <v>2371777.46</v>
      </c>
      <c r="G7" s="284">
        <f t="shared" si="3"/>
        <v>2306018.2444144776</v>
      </c>
      <c r="H7" s="10">
        <f t="shared" si="4"/>
        <v>409845.83724817401</v>
      </c>
      <c r="I7" s="10">
        <f t="shared" si="5"/>
        <v>409845.81824325956</v>
      </c>
      <c r="J7" s="10">
        <f t="shared" si="6"/>
        <v>4405866.1351267593</v>
      </c>
      <c r="K7" s="65">
        <f t="shared" si="7"/>
        <v>2306018.2444144776</v>
      </c>
      <c r="L7" s="10">
        <f t="shared" si="8"/>
        <v>850955.72168657335</v>
      </c>
      <c r="M7" s="10">
        <f t="shared" si="9"/>
        <v>801385.48547182139</v>
      </c>
    </row>
    <row r="8" spans="1:13" ht="33" customHeight="1" x14ac:dyDescent="0.3">
      <c r="A8" s="441" t="s">
        <v>158</v>
      </c>
      <c r="B8" s="441"/>
      <c r="C8" s="298">
        <v>7943186.6500000004</v>
      </c>
      <c r="D8" s="31">
        <f t="shared" si="0"/>
        <v>37.44017154746652</v>
      </c>
      <c r="E8" s="284">
        <f t="shared" si="1"/>
        <v>1152361.1109259776</v>
      </c>
      <c r="F8" s="284">
        <f t="shared" si="2"/>
        <v>7943186.6500000004</v>
      </c>
      <c r="G8" s="284">
        <f t="shared" si="3"/>
        <v>7722956.1552918712</v>
      </c>
      <c r="H8" s="10">
        <f t="shared" si="4"/>
        <v>1372591.6692823994</v>
      </c>
      <c r="I8" s="10">
        <f t="shared" si="5"/>
        <v>1372591.6056341073</v>
      </c>
      <c r="J8" s="10">
        <f t="shared" si="6"/>
        <v>14755438.761200631</v>
      </c>
      <c r="K8" s="65">
        <f t="shared" si="7"/>
        <v>7722956.1552918712</v>
      </c>
      <c r="L8" s="10">
        <f t="shared" si="8"/>
        <v>2849888.002663583</v>
      </c>
      <c r="M8" s="10">
        <f t="shared" si="9"/>
        <v>2683875.1093045389</v>
      </c>
    </row>
    <row r="9" spans="1:13" ht="30.75" customHeight="1" x14ac:dyDescent="0.25">
      <c r="A9" s="440" t="s">
        <v>169</v>
      </c>
      <c r="B9" s="440"/>
      <c r="C9" s="176">
        <f>SUM(C2:C8)</f>
        <v>21215679.100000001</v>
      </c>
      <c r="D9" s="177">
        <f>SUM(D2:D8)</f>
        <v>100</v>
      </c>
      <c r="E9" s="285">
        <v>3077873.48</v>
      </c>
      <c r="F9" s="285">
        <f>SUM(F2:F8)</f>
        <v>21215679.100000001</v>
      </c>
      <c r="G9" s="285">
        <v>20627459.32</v>
      </c>
      <c r="H9" s="10">
        <v>3666093.43</v>
      </c>
      <c r="J9" s="10">
        <f>1033805.33+38376908.22</f>
        <v>39410713.549999997</v>
      </c>
      <c r="K9">
        <f>1600000+19027459.32</f>
        <v>20627459.32</v>
      </c>
      <c r="L9" s="10">
        <f>(500000+14280282.47)*0.515</f>
        <v>7611845.4720500009</v>
      </c>
      <c r="M9" s="10">
        <f>(500000+14280282.47)*0.485</f>
        <v>7168436.9979499998</v>
      </c>
    </row>
    <row r="12" spans="1:13" ht="18.75" x14ac:dyDescent="0.3">
      <c r="A12" s="441" t="s">
        <v>164</v>
      </c>
      <c r="B12" s="441"/>
      <c r="C12" s="30">
        <v>2399979.48</v>
      </c>
      <c r="D12" s="31">
        <f>C12/$C$19*100</f>
        <v>11.312291577788805</v>
      </c>
    </row>
    <row r="13" spans="1:13" ht="18.75" x14ac:dyDescent="0.3">
      <c r="A13" s="441" t="s">
        <v>112</v>
      </c>
      <c r="B13" s="441"/>
      <c r="C13" s="33">
        <v>2469024.11</v>
      </c>
      <c r="D13" s="31">
        <f t="shared" ref="D13:D18" si="10">C13/$C$19*100</f>
        <v>11.637733104664086</v>
      </c>
    </row>
    <row r="14" spans="1:13" ht="18.75" x14ac:dyDescent="0.3">
      <c r="A14" s="441" t="s">
        <v>115</v>
      </c>
      <c r="B14" s="441"/>
      <c r="C14" s="33">
        <v>931157.69</v>
      </c>
      <c r="D14" s="31">
        <f t="shared" si="10"/>
        <v>4.3890072319202824</v>
      </c>
    </row>
    <row r="15" spans="1:13" ht="18.75" x14ac:dyDescent="0.3">
      <c r="A15" s="441" t="s">
        <v>116</v>
      </c>
      <c r="B15" s="441"/>
      <c r="C15" s="33">
        <v>2224555.0699999998</v>
      </c>
      <c r="D15" s="31">
        <f t="shared" si="10"/>
        <v>10.485429476542185</v>
      </c>
    </row>
    <row r="16" spans="1:13" ht="18.75" x14ac:dyDescent="0.3">
      <c r="A16" s="441" t="s">
        <v>155</v>
      </c>
      <c r="B16" s="441"/>
      <c r="C16" s="33">
        <v>2875998.64</v>
      </c>
      <c r="D16" s="31">
        <f t="shared" si="10"/>
        <v>13.556005567599295</v>
      </c>
    </row>
    <row r="17" spans="1:4" ht="18.75" x14ac:dyDescent="0.3">
      <c r="A17" s="441" t="s">
        <v>154</v>
      </c>
      <c r="B17" s="441"/>
      <c r="C17" s="33">
        <v>2371777.46</v>
      </c>
      <c r="D17" s="31">
        <f t="shared" si="10"/>
        <v>11.179361494018826</v>
      </c>
    </row>
    <row r="18" spans="1:4" ht="18.75" x14ac:dyDescent="0.3">
      <c r="A18" s="441" t="s">
        <v>158</v>
      </c>
      <c r="B18" s="441"/>
      <c r="C18" s="33">
        <v>7943186.6500000004</v>
      </c>
      <c r="D18" s="31">
        <f t="shared" si="10"/>
        <v>37.44017154746652</v>
      </c>
    </row>
    <row r="19" spans="1:4" x14ac:dyDescent="0.25">
      <c r="A19" s="440" t="s">
        <v>169</v>
      </c>
      <c r="B19" s="440"/>
      <c r="C19" s="176">
        <f>SUM(C12:C18)</f>
        <v>21215679.100000001</v>
      </c>
      <c r="D19" s="177">
        <v>100</v>
      </c>
    </row>
    <row r="22" spans="1:4" ht="12.75" customHeight="1" x14ac:dyDescent="0.25"/>
  </sheetData>
  <mergeCells count="16">
    <mergeCell ref="A7:B7"/>
    <mergeCell ref="A2:B2"/>
    <mergeCell ref="A3:B3"/>
    <mergeCell ref="A4:B4"/>
    <mergeCell ref="A5:B5"/>
    <mergeCell ref="A6:B6"/>
    <mergeCell ref="A16:B16"/>
    <mergeCell ref="A17:B17"/>
    <mergeCell ref="A18:B18"/>
    <mergeCell ref="A19:B19"/>
    <mergeCell ref="A8:B8"/>
    <mergeCell ref="A9:B9"/>
    <mergeCell ref="A12:B12"/>
    <mergeCell ref="A13:B13"/>
    <mergeCell ref="A14:B14"/>
    <mergeCell ref="A15:B1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G5" sqref="G1:L1048576"/>
    </sheetView>
  </sheetViews>
  <sheetFormatPr defaultRowHeight="15" x14ac:dyDescent="0.25"/>
  <cols>
    <col min="1" max="1" width="3.85546875" customWidth="1"/>
    <col min="2" max="3" width="46.140625" customWidth="1"/>
    <col min="4" max="4" width="13.5703125" customWidth="1"/>
    <col min="5" max="5" width="10.42578125" customWidth="1"/>
    <col min="6" max="6" width="18.28515625" customWidth="1"/>
    <col min="7" max="12" width="0" hidden="1" customWidth="1"/>
  </cols>
  <sheetData>
    <row r="1" spans="1:6" x14ac:dyDescent="0.25">
      <c r="A1" s="470" t="s">
        <v>480</v>
      </c>
      <c r="B1" s="470"/>
      <c r="C1" s="470"/>
      <c r="D1" s="470"/>
      <c r="E1" s="470"/>
      <c r="F1" s="470"/>
    </row>
    <row r="2" spans="1:6" ht="45" x14ac:dyDescent="0.25">
      <c r="A2" s="438" t="s">
        <v>0</v>
      </c>
      <c r="B2" s="302" t="s">
        <v>1</v>
      </c>
      <c r="C2" s="302" t="s">
        <v>105</v>
      </c>
      <c r="D2" s="437" t="s">
        <v>433</v>
      </c>
      <c r="E2" s="302" t="s">
        <v>2</v>
      </c>
      <c r="F2" s="302" t="s">
        <v>3</v>
      </c>
    </row>
    <row r="3" spans="1:6" x14ac:dyDescent="0.25">
      <c r="A3" s="303" t="s">
        <v>4</v>
      </c>
      <c r="B3" s="437" t="s">
        <v>6</v>
      </c>
      <c r="C3" s="437" t="s">
        <v>468</v>
      </c>
      <c r="D3" s="437"/>
      <c r="E3" s="303" t="s">
        <v>5</v>
      </c>
      <c r="F3" s="306"/>
    </row>
    <row r="4" spans="1:6" x14ac:dyDescent="0.25">
      <c r="A4" s="307" t="s">
        <v>7</v>
      </c>
      <c r="B4" s="437" t="s">
        <v>21</v>
      </c>
      <c r="C4" s="437" t="s">
        <v>483</v>
      </c>
      <c r="D4" s="437"/>
      <c r="E4" s="303" t="s">
        <v>5</v>
      </c>
      <c r="F4" s="303"/>
    </row>
    <row r="5" spans="1:6" x14ac:dyDescent="0.25">
      <c r="A5" s="307" t="s">
        <v>8</v>
      </c>
      <c r="B5" s="437" t="s">
        <v>22</v>
      </c>
      <c r="C5" s="437" t="s">
        <v>470</v>
      </c>
      <c r="D5" s="437"/>
      <c r="E5" s="303" t="s">
        <v>5</v>
      </c>
      <c r="F5" s="303"/>
    </row>
    <row r="6" spans="1:6" x14ac:dyDescent="0.25">
      <c r="A6" s="462" t="s">
        <v>481</v>
      </c>
      <c r="B6" s="462"/>
      <c r="C6" s="462"/>
      <c r="D6" s="462"/>
      <c r="E6" s="462"/>
      <c r="F6" s="462"/>
    </row>
    <row r="7" spans="1:6" ht="30" x14ac:dyDescent="0.25">
      <c r="A7" s="308" t="s">
        <v>9</v>
      </c>
      <c r="B7" s="308" t="s">
        <v>370</v>
      </c>
      <c r="C7" s="308"/>
      <c r="D7" s="308"/>
      <c r="E7" s="303" t="s">
        <v>15</v>
      </c>
      <c r="F7" s="309"/>
    </row>
    <row r="8" spans="1:6" ht="30" x14ac:dyDescent="0.25">
      <c r="A8" s="303" t="s">
        <v>10</v>
      </c>
      <c r="B8" s="310" t="s">
        <v>43</v>
      </c>
      <c r="C8" s="310"/>
      <c r="D8" s="310"/>
      <c r="E8" s="303" t="s">
        <v>15</v>
      </c>
      <c r="F8" s="303"/>
    </row>
    <row r="9" spans="1:6" ht="30" x14ac:dyDescent="0.25">
      <c r="A9" s="303" t="s">
        <v>11</v>
      </c>
      <c r="B9" s="310" t="s">
        <v>374</v>
      </c>
      <c r="C9" s="310"/>
      <c r="D9" s="310"/>
      <c r="E9" s="303" t="s">
        <v>15</v>
      </c>
      <c r="F9" s="311">
        <v>0</v>
      </c>
    </row>
    <row r="10" spans="1:6" ht="30" x14ac:dyDescent="0.25">
      <c r="A10" s="303" t="s">
        <v>12</v>
      </c>
      <c r="B10" s="310" t="s">
        <v>25</v>
      </c>
      <c r="C10" s="310"/>
      <c r="D10" s="310">
        <v>41.38</v>
      </c>
      <c r="E10" s="303" t="s">
        <v>15</v>
      </c>
      <c r="F10" s="326">
        <f>D10*H32*H33</f>
        <v>2434951.4784000004</v>
      </c>
    </row>
    <row r="11" spans="1:6" x14ac:dyDescent="0.25">
      <c r="A11" s="303" t="s">
        <v>13</v>
      </c>
      <c r="B11" s="310" t="s">
        <v>26</v>
      </c>
      <c r="C11" s="310"/>
      <c r="D11" s="310"/>
      <c r="E11" s="303" t="s">
        <v>15</v>
      </c>
      <c r="F11" s="311"/>
    </row>
    <row r="12" spans="1:6" x14ac:dyDescent="0.25">
      <c r="A12" s="303" t="s">
        <v>17</v>
      </c>
      <c r="B12" s="310" t="s">
        <v>27</v>
      </c>
      <c r="C12" s="310"/>
      <c r="D12" s="310"/>
      <c r="E12" s="303" t="s">
        <v>15</v>
      </c>
      <c r="F12" s="311"/>
    </row>
    <row r="13" spans="1:6" x14ac:dyDescent="0.25">
      <c r="A13" s="303" t="s">
        <v>18</v>
      </c>
      <c r="B13" s="310" t="s">
        <v>28</v>
      </c>
      <c r="C13" s="310"/>
      <c r="D13" s="310">
        <f>3.41</f>
        <v>3.41</v>
      </c>
      <c r="E13" s="303" t="s">
        <v>15</v>
      </c>
      <c r="F13" s="311">
        <f>D13*H32*H33</f>
        <v>200656.94880000001</v>
      </c>
    </row>
    <row r="14" spans="1:6" x14ac:dyDescent="0.25">
      <c r="A14" s="303" t="s">
        <v>19</v>
      </c>
      <c r="B14" s="310" t="s">
        <v>29</v>
      </c>
      <c r="C14" s="310"/>
      <c r="D14" s="310"/>
      <c r="E14" s="303" t="s">
        <v>15</v>
      </c>
      <c r="F14" s="326"/>
    </row>
    <row r="15" spans="1:6" x14ac:dyDescent="0.25">
      <c r="A15" s="303" t="s">
        <v>20</v>
      </c>
      <c r="B15" s="310" t="s">
        <v>30</v>
      </c>
      <c r="C15" s="310"/>
      <c r="D15" s="310"/>
      <c r="E15" s="303" t="s">
        <v>15</v>
      </c>
      <c r="F15" s="311">
        <v>135975.16</v>
      </c>
    </row>
    <row r="16" spans="1:6" x14ac:dyDescent="0.25">
      <c r="A16" s="303" t="s">
        <v>31</v>
      </c>
      <c r="B16" s="310" t="s">
        <v>32</v>
      </c>
      <c r="C16" s="310"/>
      <c r="D16" s="310"/>
      <c r="E16" s="303" t="s">
        <v>15</v>
      </c>
      <c r="F16" s="311"/>
    </row>
    <row r="17" spans="1:8" x14ac:dyDescent="0.25">
      <c r="A17" s="303" t="s">
        <v>33</v>
      </c>
      <c r="B17" s="310" t="s">
        <v>34</v>
      </c>
      <c r="C17" s="310"/>
      <c r="D17" s="310"/>
      <c r="E17" s="303" t="s">
        <v>15</v>
      </c>
      <c r="F17" s="311"/>
    </row>
    <row r="18" spans="1:8" ht="30" x14ac:dyDescent="0.25">
      <c r="A18" s="303" t="s">
        <v>35</v>
      </c>
      <c r="B18" s="310" t="s">
        <v>36</v>
      </c>
      <c r="C18" s="310"/>
      <c r="D18" s="310"/>
      <c r="E18" s="303" t="s">
        <v>15</v>
      </c>
      <c r="F18" s="311"/>
    </row>
    <row r="19" spans="1:8" x14ac:dyDescent="0.25">
      <c r="A19" s="303" t="s">
        <v>38</v>
      </c>
      <c r="B19" s="310" t="s">
        <v>37</v>
      </c>
      <c r="C19" s="310"/>
      <c r="D19" s="310"/>
      <c r="E19" s="303" t="s">
        <v>15</v>
      </c>
      <c r="F19" s="311"/>
    </row>
    <row r="20" spans="1:8" x14ac:dyDescent="0.25">
      <c r="A20" s="303" t="s">
        <v>39</v>
      </c>
      <c r="B20" s="310" t="s">
        <v>40</v>
      </c>
      <c r="C20" s="310"/>
      <c r="D20" s="310"/>
      <c r="E20" s="303" t="s">
        <v>15</v>
      </c>
      <c r="F20" s="311"/>
    </row>
    <row r="21" spans="1:8" ht="30" x14ac:dyDescent="0.25">
      <c r="A21" s="303" t="s">
        <v>41</v>
      </c>
      <c r="B21" s="310" t="s">
        <v>381</v>
      </c>
      <c r="C21" s="310"/>
      <c r="D21" s="310"/>
      <c r="E21" s="303" t="s">
        <v>383</v>
      </c>
      <c r="F21" s="311"/>
    </row>
    <row r="22" spans="1:8" ht="30" x14ac:dyDescent="0.25">
      <c r="A22" s="303" t="s">
        <v>44</v>
      </c>
      <c r="B22" s="310" t="s">
        <v>42</v>
      </c>
      <c r="C22" s="310"/>
      <c r="D22" s="310"/>
      <c r="E22" s="303" t="s">
        <v>15</v>
      </c>
      <c r="F22" s="311"/>
    </row>
    <row r="23" spans="1:8" ht="30" x14ac:dyDescent="0.25">
      <c r="A23" s="315" t="s">
        <v>45</v>
      </c>
      <c r="B23" s="316" t="s">
        <v>382</v>
      </c>
      <c r="C23" s="316"/>
      <c r="D23" s="316"/>
      <c r="E23" s="315" t="s">
        <v>15</v>
      </c>
      <c r="F23" s="328">
        <f>F10-F15</f>
        <v>2298976.3184000002</v>
      </c>
    </row>
    <row r="24" spans="1:8" ht="33" customHeight="1" x14ac:dyDescent="0.25">
      <c r="A24" s="472" t="s">
        <v>46</v>
      </c>
      <c r="B24" s="472"/>
      <c r="C24" s="472"/>
      <c r="D24" s="472"/>
      <c r="E24" s="472"/>
      <c r="F24" s="472"/>
    </row>
    <row r="25" spans="1:8" x14ac:dyDescent="0.25">
      <c r="A25" s="332" t="s">
        <v>47</v>
      </c>
      <c r="B25" s="310" t="s">
        <v>48</v>
      </c>
      <c r="C25" s="310"/>
      <c r="D25" s="310"/>
      <c r="E25" s="303" t="s">
        <v>5</v>
      </c>
      <c r="F25" s="303"/>
    </row>
    <row r="26" spans="1:8" x14ac:dyDescent="0.25">
      <c r="A26" s="332" t="s">
        <v>49</v>
      </c>
      <c r="B26" s="310" t="s">
        <v>387</v>
      </c>
      <c r="C26" s="310"/>
      <c r="D26" s="437">
        <v>41.38</v>
      </c>
      <c r="E26" s="303" t="s">
        <v>5</v>
      </c>
      <c r="F26" s="312">
        <f>D26*H32*H33</f>
        <v>2434951.4784000004</v>
      </c>
    </row>
    <row r="27" spans="1:8" hidden="1" x14ac:dyDescent="0.25">
      <c r="A27" s="332" t="s">
        <v>51</v>
      </c>
      <c r="B27" s="310" t="s">
        <v>48</v>
      </c>
      <c r="C27" s="310"/>
      <c r="D27" s="310"/>
      <c r="E27" s="303" t="s">
        <v>5</v>
      </c>
      <c r="F27" s="303"/>
    </row>
    <row r="28" spans="1:8" ht="30" hidden="1" x14ac:dyDescent="0.25">
      <c r="A28" s="332" t="s">
        <v>54</v>
      </c>
      <c r="B28" s="310" t="s">
        <v>415</v>
      </c>
      <c r="C28" s="310"/>
      <c r="D28" s="310"/>
      <c r="E28" s="303"/>
      <c r="F28" s="303"/>
    </row>
    <row r="29" spans="1:8" hidden="1" x14ac:dyDescent="0.25">
      <c r="A29" s="332" t="s">
        <v>56</v>
      </c>
      <c r="B29" s="310" t="s">
        <v>416</v>
      </c>
      <c r="C29" s="310"/>
      <c r="D29" s="310"/>
      <c r="E29" s="303"/>
      <c r="F29" s="303"/>
    </row>
    <row r="30" spans="1:8" hidden="1" x14ac:dyDescent="0.25">
      <c r="A30" s="332" t="s">
        <v>59</v>
      </c>
      <c r="B30" s="310" t="s">
        <v>417</v>
      </c>
      <c r="C30" s="310"/>
      <c r="D30" s="310"/>
      <c r="E30" s="303"/>
      <c r="F30" s="303"/>
    </row>
    <row r="31" spans="1:8" ht="30" x14ac:dyDescent="0.25">
      <c r="A31" s="332"/>
      <c r="B31" s="437" t="s">
        <v>429</v>
      </c>
      <c r="C31" s="437"/>
      <c r="D31" s="437" t="s">
        <v>433</v>
      </c>
      <c r="E31" s="303"/>
      <c r="F31" s="303"/>
    </row>
    <row r="32" spans="1:8" ht="26.25" x14ac:dyDescent="0.25">
      <c r="A32" s="332"/>
      <c r="B32" s="338" t="s">
        <v>388</v>
      </c>
      <c r="C32" s="468" t="s">
        <v>419</v>
      </c>
      <c r="D32" s="369">
        <v>6.31</v>
      </c>
      <c r="E32" s="303" t="s">
        <v>15</v>
      </c>
      <c r="F32" s="311">
        <f>D32*H32*H33</f>
        <v>371303.62080000003</v>
      </c>
      <c r="H32" s="4">
        <v>4903.6400000000003</v>
      </c>
    </row>
    <row r="33" spans="1:8" x14ac:dyDescent="0.25">
      <c r="A33" s="332"/>
      <c r="B33" s="338" t="s">
        <v>434</v>
      </c>
      <c r="C33" s="468"/>
      <c r="D33" s="369"/>
      <c r="E33" s="303" t="s">
        <v>15</v>
      </c>
      <c r="F33" s="311"/>
      <c r="H33">
        <v>12</v>
      </c>
    </row>
    <row r="34" spans="1:8" x14ac:dyDescent="0.25">
      <c r="A34" s="332"/>
      <c r="B34" s="310" t="s">
        <v>390</v>
      </c>
      <c r="C34" s="468"/>
      <c r="D34" s="369">
        <v>0.82</v>
      </c>
      <c r="E34" s="303" t="s">
        <v>15</v>
      </c>
      <c r="F34" s="311">
        <f>D34*H32*H33</f>
        <v>48251.817600000002</v>
      </c>
    </row>
    <row r="35" spans="1:8" x14ac:dyDescent="0.25">
      <c r="A35" s="332"/>
      <c r="B35" s="310" t="s">
        <v>391</v>
      </c>
      <c r="C35" s="468"/>
      <c r="D35" s="369">
        <v>0.16</v>
      </c>
      <c r="E35" s="303" t="s">
        <v>15</v>
      </c>
      <c r="F35" s="311">
        <f>D35*H32*H33</f>
        <v>9414.988800000001</v>
      </c>
    </row>
    <row r="36" spans="1:8" x14ac:dyDescent="0.25">
      <c r="A36" s="332"/>
      <c r="B36" s="310" t="s">
        <v>392</v>
      </c>
      <c r="C36" s="310" t="s">
        <v>418</v>
      </c>
      <c r="D36" s="369">
        <v>1.3</v>
      </c>
      <c r="E36" s="303" t="s">
        <v>15</v>
      </c>
      <c r="F36" s="311">
        <f>D36*H32*H33</f>
        <v>76496.784000000014</v>
      </c>
    </row>
    <row r="37" spans="1:8" ht="45" x14ac:dyDescent="0.25">
      <c r="A37" s="332"/>
      <c r="B37" s="310" t="s">
        <v>393</v>
      </c>
      <c r="C37" s="310" t="s">
        <v>424</v>
      </c>
      <c r="D37" s="369">
        <v>0.17</v>
      </c>
      <c r="E37" s="303" t="s">
        <v>15</v>
      </c>
      <c r="F37" s="311">
        <f>D37*H32*H33</f>
        <v>10003.4256</v>
      </c>
    </row>
    <row r="38" spans="1:8" ht="30" x14ac:dyDescent="0.25">
      <c r="A38" s="332"/>
      <c r="B38" s="310" t="s">
        <v>394</v>
      </c>
      <c r="C38" s="310" t="s">
        <v>425</v>
      </c>
      <c r="D38" s="369">
        <v>1.33</v>
      </c>
      <c r="E38" s="303" t="s">
        <v>15</v>
      </c>
      <c r="F38" s="311">
        <f>D38*H32*H33</f>
        <v>78262.094400000002</v>
      </c>
    </row>
    <row r="39" spans="1:8" ht="26.25" x14ac:dyDescent="0.25">
      <c r="A39" s="332"/>
      <c r="B39" s="338" t="s">
        <v>395</v>
      </c>
      <c r="C39" s="481" t="s">
        <v>426</v>
      </c>
      <c r="D39" s="369">
        <v>2.0299999999999998</v>
      </c>
      <c r="E39" s="303" t="s">
        <v>15</v>
      </c>
      <c r="F39" s="311">
        <f>D39*H32*H33</f>
        <v>119452.6704</v>
      </c>
    </row>
    <row r="40" spans="1:8" ht="30" x14ac:dyDescent="0.25">
      <c r="A40" s="332"/>
      <c r="B40" s="310" t="s">
        <v>396</v>
      </c>
      <c r="C40" s="482"/>
      <c r="D40" s="369">
        <v>1.4</v>
      </c>
      <c r="E40" s="303" t="s">
        <v>15</v>
      </c>
      <c r="F40" s="311">
        <f>D40*H32*H33</f>
        <v>82381.152000000002</v>
      </c>
    </row>
    <row r="41" spans="1:8" ht="26.25" x14ac:dyDescent="0.25">
      <c r="A41" s="332"/>
      <c r="B41" s="338" t="s">
        <v>397</v>
      </c>
      <c r="C41" s="482"/>
      <c r="D41" s="369">
        <v>0.52</v>
      </c>
      <c r="E41" s="303" t="s">
        <v>15</v>
      </c>
      <c r="F41" s="311">
        <f>D41*H32*H33</f>
        <v>30598.713600000003</v>
      </c>
    </row>
    <row r="42" spans="1:8" ht="26.25" x14ac:dyDescent="0.25">
      <c r="A42" s="332"/>
      <c r="B42" s="359" t="s">
        <v>398</v>
      </c>
      <c r="C42" s="483"/>
      <c r="D42" s="437">
        <v>0.86</v>
      </c>
      <c r="E42" s="303" t="s">
        <v>15</v>
      </c>
      <c r="F42" s="326">
        <f>D42*H32*H33</f>
        <v>50605.5648</v>
      </c>
    </row>
    <row r="43" spans="1:8" x14ac:dyDescent="0.25">
      <c r="A43" s="332"/>
      <c r="B43" s="338" t="s">
        <v>399</v>
      </c>
      <c r="C43" s="310"/>
      <c r="D43" s="369">
        <v>0.13</v>
      </c>
      <c r="E43" s="303" t="s">
        <v>15</v>
      </c>
      <c r="F43" s="311">
        <f>D43*H32*H33</f>
        <v>7649.6784000000007</v>
      </c>
    </row>
    <row r="44" spans="1:8" x14ac:dyDescent="0.25">
      <c r="A44" s="332"/>
      <c r="B44" s="338" t="s">
        <v>400</v>
      </c>
      <c r="C44" s="310"/>
      <c r="D44" s="369">
        <v>0.3</v>
      </c>
      <c r="E44" s="303" t="s">
        <v>15</v>
      </c>
      <c r="F44" s="311">
        <f>D44*H32*H33</f>
        <v>17653.103999999999</v>
      </c>
    </row>
    <row r="45" spans="1:8" x14ac:dyDescent="0.25">
      <c r="A45" s="332"/>
      <c r="B45" s="338" t="s">
        <v>401</v>
      </c>
      <c r="C45" s="310"/>
      <c r="D45" s="369">
        <v>0.38</v>
      </c>
      <c r="E45" s="303" t="s">
        <v>15</v>
      </c>
      <c r="F45" s="311">
        <f>D45*H32*H33</f>
        <v>22360.598400000003</v>
      </c>
    </row>
    <row r="46" spans="1:8" x14ac:dyDescent="0.25">
      <c r="A46" s="332"/>
      <c r="B46" s="338" t="s">
        <v>402</v>
      </c>
      <c r="C46" s="310"/>
      <c r="D46" s="369">
        <v>0.05</v>
      </c>
      <c r="E46" s="303" t="s">
        <v>15</v>
      </c>
      <c r="F46" s="311">
        <f>D46*H32*H33</f>
        <v>2942.1840000000002</v>
      </c>
    </row>
    <row r="47" spans="1:8" x14ac:dyDescent="0.25">
      <c r="A47" s="332"/>
      <c r="B47" s="338" t="s">
        <v>403</v>
      </c>
      <c r="C47" s="468" t="s">
        <v>427</v>
      </c>
      <c r="D47" s="369">
        <v>0.6</v>
      </c>
      <c r="E47" s="303" t="s">
        <v>15</v>
      </c>
      <c r="F47" s="311">
        <f>D47*H32*H33</f>
        <v>35306.207999999999</v>
      </c>
    </row>
    <row r="48" spans="1:8" ht="30" x14ac:dyDescent="0.25">
      <c r="A48" s="332"/>
      <c r="B48" s="310" t="s">
        <v>404</v>
      </c>
      <c r="C48" s="468"/>
      <c r="D48" s="369">
        <v>0.1</v>
      </c>
      <c r="E48" s="303" t="s">
        <v>15</v>
      </c>
      <c r="F48" s="311">
        <f>D48*H33*H32</f>
        <v>5884.3680000000013</v>
      </c>
    </row>
    <row r="49" spans="1:6" ht="30" x14ac:dyDescent="0.25">
      <c r="A49" s="332"/>
      <c r="B49" s="310" t="s">
        <v>405</v>
      </c>
      <c r="C49" s="468"/>
      <c r="D49" s="369">
        <v>0.38</v>
      </c>
      <c r="E49" s="303" t="s">
        <v>15</v>
      </c>
      <c r="F49" s="311">
        <f>D49*H32*H33</f>
        <v>22360.598400000003</v>
      </c>
    </row>
    <row r="50" spans="1:6" x14ac:dyDescent="0.25">
      <c r="A50" s="332"/>
      <c r="B50" s="338" t="s">
        <v>406</v>
      </c>
      <c r="C50" s="310" t="s">
        <v>428</v>
      </c>
      <c r="D50" s="369">
        <v>6.53</v>
      </c>
      <c r="E50" s="303" t="s">
        <v>15</v>
      </c>
      <c r="F50" s="311">
        <f>D50*H32*H33</f>
        <v>384249.2304</v>
      </c>
    </row>
    <row r="51" spans="1:6" ht="30" x14ac:dyDescent="0.25">
      <c r="A51" s="332"/>
      <c r="B51" s="310" t="s">
        <v>407</v>
      </c>
      <c r="C51" s="310" t="s">
        <v>422</v>
      </c>
      <c r="D51" s="369">
        <v>8.08</v>
      </c>
      <c r="E51" s="303" t="s">
        <v>15</v>
      </c>
      <c r="F51" s="311">
        <f>D51*H32*H33</f>
        <v>475456.93440000003</v>
      </c>
    </row>
    <row r="52" spans="1:6" x14ac:dyDescent="0.25">
      <c r="A52" s="332"/>
      <c r="B52" s="338" t="s">
        <v>408</v>
      </c>
      <c r="C52" s="310" t="s">
        <v>422</v>
      </c>
      <c r="D52" s="369">
        <v>3.12</v>
      </c>
      <c r="E52" s="303" t="s">
        <v>15</v>
      </c>
      <c r="F52" s="311">
        <f>D52*H32*H33</f>
        <v>183592.28160000002</v>
      </c>
    </row>
    <row r="53" spans="1:6" ht="26.25" x14ac:dyDescent="0.25">
      <c r="A53" s="332"/>
      <c r="B53" s="338" t="s">
        <v>409</v>
      </c>
      <c r="C53" s="310" t="s">
        <v>422</v>
      </c>
      <c r="D53" s="369">
        <v>1.5</v>
      </c>
      <c r="E53" s="303" t="s">
        <v>15</v>
      </c>
      <c r="F53" s="311">
        <f>D53*H32*H33</f>
        <v>88265.520000000019</v>
      </c>
    </row>
    <row r="54" spans="1:6" ht="51" x14ac:dyDescent="0.25">
      <c r="A54" s="332"/>
      <c r="B54" s="360" t="s">
        <v>410</v>
      </c>
      <c r="C54" s="310" t="s">
        <v>422</v>
      </c>
      <c r="D54" s="369">
        <v>0.44</v>
      </c>
      <c r="E54" s="303" t="s">
        <v>15</v>
      </c>
      <c r="F54" s="311">
        <f>D54*H32*H33</f>
        <v>25891.2192</v>
      </c>
    </row>
    <row r="55" spans="1:6" ht="26.25" x14ac:dyDescent="0.25">
      <c r="A55" s="332"/>
      <c r="B55" s="338" t="s">
        <v>411</v>
      </c>
      <c r="C55" s="310" t="s">
        <v>422</v>
      </c>
      <c r="D55" s="369"/>
      <c r="E55" s="303" t="s">
        <v>15</v>
      </c>
      <c r="F55" s="311"/>
    </row>
    <row r="56" spans="1:6" ht="39" x14ac:dyDescent="0.25">
      <c r="A56" s="332"/>
      <c r="B56" s="361" t="s">
        <v>412</v>
      </c>
      <c r="C56" s="310" t="s">
        <v>428</v>
      </c>
      <c r="D56" s="369">
        <v>0.19</v>
      </c>
      <c r="E56" s="303" t="s">
        <v>15</v>
      </c>
      <c r="F56" s="311">
        <f>D56*H32*H33</f>
        <v>11180.299200000001</v>
      </c>
    </row>
    <row r="57" spans="1:6" ht="39" x14ac:dyDescent="0.25">
      <c r="A57" s="332"/>
      <c r="B57" s="361" t="s">
        <v>435</v>
      </c>
      <c r="C57" s="310"/>
      <c r="D57" s="369">
        <v>0.94</v>
      </c>
      <c r="E57" s="303"/>
      <c r="F57" s="311">
        <f>D57*H32*H33</f>
        <v>55313.059199999996</v>
      </c>
    </row>
    <row r="58" spans="1:6" ht="26.25" x14ac:dyDescent="0.25">
      <c r="A58" s="332"/>
      <c r="B58" s="338" t="s">
        <v>413</v>
      </c>
      <c r="C58" s="310" t="s">
        <v>423</v>
      </c>
      <c r="D58" s="369">
        <v>1.28</v>
      </c>
      <c r="E58" s="303" t="s">
        <v>15</v>
      </c>
      <c r="F58" s="311">
        <f>D58*H32*H33</f>
        <v>75319.910400000008</v>
      </c>
    </row>
    <row r="59" spans="1:6" ht="27" thickBot="1" x14ac:dyDescent="0.3">
      <c r="A59" s="370"/>
      <c r="B59" s="362" t="s">
        <v>414</v>
      </c>
      <c r="C59" s="353" t="s">
        <v>418</v>
      </c>
      <c r="D59" s="371">
        <v>3.41</v>
      </c>
      <c r="E59" s="372" t="s">
        <v>15</v>
      </c>
      <c r="F59" s="311">
        <f>D59*H32*H33</f>
        <v>200656.94880000001</v>
      </c>
    </row>
    <row r="60" spans="1:6" x14ac:dyDescent="0.25">
      <c r="A60" s="477" t="s">
        <v>53</v>
      </c>
      <c r="B60" s="478"/>
      <c r="C60" s="478"/>
      <c r="D60" s="478"/>
      <c r="E60" s="478"/>
      <c r="F60" s="478"/>
    </row>
    <row r="61" spans="1:6" x14ac:dyDescent="0.25">
      <c r="A61" s="373" t="s">
        <v>61</v>
      </c>
      <c r="B61" s="374" t="s">
        <v>55</v>
      </c>
      <c r="C61" s="374"/>
      <c r="D61" s="374"/>
      <c r="E61" s="373" t="s">
        <v>58</v>
      </c>
      <c r="F61" s="379">
        <v>0</v>
      </c>
    </row>
    <row r="62" spans="1:6" x14ac:dyDescent="0.25">
      <c r="A62" s="373" t="s">
        <v>64</v>
      </c>
      <c r="B62" s="374" t="s">
        <v>57</v>
      </c>
      <c r="C62" s="374"/>
      <c r="D62" s="374"/>
      <c r="E62" s="373" t="s">
        <v>58</v>
      </c>
      <c r="F62" s="379">
        <v>0</v>
      </c>
    </row>
    <row r="63" spans="1:6" ht="30" x14ac:dyDescent="0.25">
      <c r="A63" s="373" t="s">
        <v>65</v>
      </c>
      <c r="B63" s="374" t="s">
        <v>60</v>
      </c>
      <c r="C63" s="374"/>
      <c r="D63" s="374"/>
      <c r="E63" s="373" t="s">
        <v>58</v>
      </c>
      <c r="F63" s="379">
        <v>0</v>
      </c>
    </row>
    <row r="64" spans="1:6" x14ac:dyDescent="0.25">
      <c r="A64" s="373" t="s">
        <v>67</v>
      </c>
      <c r="B64" s="374" t="s">
        <v>62</v>
      </c>
      <c r="C64" s="374"/>
      <c r="D64" s="374"/>
      <c r="E64" s="373" t="s">
        <v>15</v>
      </c>
      <c r="F64" s="379">
        <v>0</v>
      </c>
    </row>
    <row r="65" spans="1:6" x14ac:dyDescent="0.25">
      <c r="A65" s="479" t="s">
        <v>484</v>
      </c>
      <c r="B65" s="480"/>
      <c r="C65" s="480"/>
      <c r="D65" s="480"/>
      <c r="E65" s="480"/>
      <c r="F65" s="480"/>
    </row>
    <row r="66" spans="1:6" ht="30" x14ac:dyDescent="0.25">
      <c r="A66" s="373" t="s">
        <v>68</v>
      </c>
      <c r="B66" s="374" t="s">
        <v>439</v>
      </c>
      <c r="C66" s="374"/>
      <c r="D66" s="374"/>
      <c r="E66" s="373" t="s">
        <v>15</v>
      </c>
      <c r="F66" s="376">
        <v>0</v>
      </c>
    </row>
    <row r="67" spans="1:6" ht="30" x14ac:dyDescent="0.25">
      <c r="A67" s="373" t="s">
        <v>70</v>
      </c>
      <c r="B67" s="374" t="s">
        <v>371</v>
      </c>
      <c r="C67" s="374"/>
      <c r="D67" s="374"/>
      <c r="E67" s="373" t="s">
        <v>15</v>
      </c>
      <c r="F67" s="376">
        <v>0</v>
      </c>
    </row>
    <row r="68" spans="1:6" ht="30" x14ac:dyDescent="0.25">
      <c r="A68" s="373" t="s">
        <v>71</v>
      </c>
      <c r="B68" s="374" t="s">
        <v>440</v>
      </c>
      <c r="C68" s="374"/>
      <c r="D68" s="374"/>
      <c r="E68" s="373" t="s">
        <v>15</v>
      </c>
      <c r="F68" s="376">
        <v>0</v>
      </c>
    </row>
    <row r="69" spans="1:6" ht="30" x14ac:dyDescent="0.25">
      <c r="A69" s="373" t="s">
        <v>73</v>
      </c>
      <c r="B69" s="374" t="s">
        <v>381</v>
      </c>
      <c r="C69" s="374"/>
      <c r="D69" s="374"/>
      <c r="E69" s="373" t="s">
        <v>15</v>
      </c>
      <c r="F69" s="376">
        <v>0</v>
      </c>
    </row>
    <row r="70" spans="1:6" ht="30" x14ac:dyDescent="0.25">
      <c r="A70" s="373" t="s">
        <v>74</v>
      </c>
      <c r="B70" s="374" t="s">
        <v>441</v>
      </c>
      <c r="C70" s="374"/>
      <c r="D70" s="374"/>
      <c r="E70" s="373" t="s">
        <v>15</v>
      </c>
      <c r="F70" s="376"/>
    </row>
    <row r="71" spans="1:6" ht="30" x14ac:dyDescent="0.25">
      <c r="A71" s="373" t="s">
        <v>75</v>
      </c>
      <c r="B71" s="374" t="s">
        <v>442</v>
      </c>
      <c r="C71" s="374"/>
      <c r="D71" s="374"/>
      <c r="E71" s="373" t="s">
        <v>15</v>
      </c>
      <c r="F71" s="376">
        <f>F78+F89+F100+F111</f>
        <v>677605.85</v>
      </c>
    </row>
    <row r="72" spans="1:6" x14ac:dyDescent="0.25">
      <c r="A72" s="479" t="s">
        <v>72</v>
      </c>
      <c r="B72" s="480"/>
      <c r="C72" s="480"/>
      <c r="D72" s="480"/>
      <c r="E72" s="480"/>
      <c r="F72" s="480"/>
    </row>
    <row r="73" spans="1:6" x14ac:dyDescent="0.25">
      <c r="A73" s="373" t="s">
        <v>78</v>
      </c>
      <c r="B73" s="374" t="s">
        <v>16</v>
      </c>
      <c r="C73" s="374"/>
      <c r="D73" s="374"/>
      <c r="E73" s="373" t="s">
        <v>5</v>
      </c>
      <c r="F73" s="375" t="s">
        <v>344</v>
      </c>
    </row>
    <row r="74" spans="1:6" x14ac:dyDescent="0.25">
      <c r="A74" s="373" t="s">
        <v>80</v>
      </c>
      <c r="B74" s="374" t="s">
        <v>14</v>
      </c>
      <c r="C74" s="374"/>
      <c r="D74" s="374"/>
      <c r="E74" s="373" t="s">
        <v>5</v>
      </c>
      <c r="F74" s="375" t="s">
        <v>316</v>
      </c>
    </row>
    <row r="75" spans="1:6" x14ac:dyDescent="0.25">
      <c r="A75" s="373" t="s">
        <v>82</v>
      </c>
      <c r="B75" s="374" t="s">
        <v>76</v>
      </c>
      <c r="C75" s="374"/>
      <c r="D75" s="374"/>
      <c r="E75" s="373" t="s">
        <v>77</v>
      </c>
      <c r="F75" s="376">
        <f>F76/D76</f>
        <v>62691.945</v>
      </c>
    </row>
    <row r="76" spans="1:6" x14ac:dyDescent="0.25">
      <c r="A76" s="373" t="s">
        <v>84</v>
      </c>
      <c r="B76" s="374" t="s">
        <v>79</v>
      </c>
      <c r="C76" s="374"/>
      <c r="D76" s="374">
        <v>2</v>
      </c>
      <c r="E76" s="373" t="s">
        <v>15</v>
      </c>
      <c r="F76" s="376">
        <v>125383.89</v>
      </c>
    </row>
    <row r="77" spans="1:6" x14ac:dyDescent="0.25">
      <c r="A77" s="373" t="s">
        <v>86</v>
      </c>
      <c r="B77" s="374" t="s">
        <v>81</v>
      </c>
      <c r="C77" s="374"/>
      <c r="D77" s="374"/>
      <c r="E77" s="373" t="s">
        <v>15</v>
      </c>
      <c r="F77" s="376">
        <v>4202.87</v>
      </c>
    </row>
    <row r="78" spans="1:6" x14ac:dyDescent="0.25">
      <c r="A78" s="373" t="s">
        <v>88</v>
      </c>
      <c r="B78" s="374" t="s">
        <v>83</v>
      </c>
      <c r="C78" s="374"/>
      <c r="D78" s="374"/>
      <c r="E78" s="373" t="s">
        <v>15</v>
      </c>
      <c r="F78" s="376">
        <f>F76-F77</f>
        <v>121181.02</v>
      </c>
    </row>
    <row r="79" spans="1:6" ht="30" x14ac:dyDescent="0.25">
      <c r="A79" s="373" t="s">
        <v>90</v>
      </c>
      <c r="B79" s="374" t="s">
        <v>85</v>
      </c>
      <c r="C79" s="374"/>
      <c r="D79" s="374"/>
      <c r="E79" s="373" t="s">
        <v>15</v>
      </c>
      <c r="F79" s="376">
        <v>122936.89</v>
      </c>
    </row>
    <row r="80" spans="1:6" ht="30" x14ac:dyDescent="0.25">
      <c r="A80" s="373" t="s">
        <v>93</v>
      </c>
      <c r="B80" s="374" t="s">
        <v>87</v>
      </c>
      <c r="C80" s="374"/>
      <c r="D80" s="374"/>
      <c r="E80" s="373" t="s">
        <v>15</v>
      </c>
      <c r="F80" s="376">
        <v>110893.97</v>
      </c>
    </row>
    <row r="81" spans="1:6" ht="30" x14ac:dyDescent="0.25">
      <c r="A81" s="373" t="s">
        <v>94</v>
      </c>
      <c r="B81" s="374" t="s">
        <v>89</v>
      </c>
      <c r="C81" s="374"/>
      <c r="D81" s="374"/>
      <c r="E81" s="373" t="s">
        <v>15</v>
      </c>
      <c r="F81" s="376">
        <v>12042.92</v>
      </c>
    </row>
    <row r="82" spans="1:6" ht="45" x14ac:dyDescent="0.25">
      <c r="A82" s="373" t="s">
        <v>95</v>
      </c>
      <c r="B82" s="374" t="s">
        <v>444</v>
      </c>
      <c r="C82" s="374"/>
      <c r="D82" s="374"/>
      <c r="E82" s="373" t="s">
        <v>15</v>
      </c>
      <c r="F82" s="376">
        <v>343</v>
      </c>
    </row>
    <row r="83" spans="1:6" x14ac:dyDescent="0.25">
      <c r="A83" s="479" t="s">
        <v>72</v>
      </c>
      <c r="B83" s="480"/>
      <c r="C83" s="480"/>
      <c r="D83" s="480"/>
      <c r="E83" s="480"/>
      <c r="F83" s="480"/>
    </row>
    <row r="84" spans="1:6" x14ac:dyDescent="0.25">
      <c r="A84" s="373" t="s">
        <v>78</v>
      </c>
      <c r="B84" s="374" t="s">
        <v>16</v>
      </c>
      <c r="C84" s="374"/>
      <c r="D84" s="374"/>
      <c r="E84" s="373" t="s">
        <v>5</v>
      </c>
      <c r="F84" s="393" t="s">
        <v>332</v>
      </c>
    </row>
    <row r="85" spans="1:6" x14ac:dyDescent="0.25">
      <c r="A85" s="373" t="s">
        <v>80</v>
      </c>
      <c r="B85" s="374" t="s">
        <v>14</v>
      </c>
      <c r="C85" s="374"/>
      <c r="D85" s="374"/>
      <c r="E85" s="373" t="s">
        <v>5</v>
      </c>
      <c r="F85" s="393" t="s">
        <v>331</v>
      </c>
    </row>
    <row r="86" spans="1:6" x14ac:dyDescent="0.25">
      <c r="A86" s="373" t="s">
        <v>82</v>
      </c>
      <c r="B86" s="374" t="s">
        <v>76</v>
      </c>
      <c r="C86" s="374"/>
      <c r="D86" s="374"/>
      <c r="E86" s="373" t="s">
        <v>77</v>
      </c>
      <c r="F86" s="376">
        <f>F87/D87</f>
        <v>151.63232533889467</v>
      </c>
    </row>
    <row r="87" spans="1:6" x14ac:dyDescent="0.25">
      <c r="A87" s="373" t="s">
        <v>84</v>
      </c>
      <c r="B87" s="374" t="s">
        <v>79</v>
      </c>
      <c r="C87" s="374"/>
      <c r="D87" s="374">
        <v>47.95</v>
      </c>
      <c r="E87" s="373" t="s">
        <v>15</v>
      </c>
      <c r="F87" s="376">
        <f>6503.85+766.92</f>
        <v>7270.77</v>
      </c>
    </row>
    <row r="88" spans="1:6" x14ac:dyDescent="0.25">
      <c r="A88" s="373" t="s">
        <v>86</v>
      </c>
      <c r="B88" s="374" t="s">
        <v>81</v>
      </c>
      <c r="C88" s="374"/>
      <c r="D88" s="374"/>
      <c r="E88" s="373" t="s">
        <v>15</v>
      </c>
      <c r="F88" s="376">
        <v>242.28</v>
      </c>
    </row>
    <row r="89" spans="1:6" x14ac:dyDescent="0.25">
      <c r="A89" s="373" t="s">
        <v>88</v>
      </c>
      <c r="B89" s="374" t="s">
        <v>83</v>
      </c>
      <c r="C89" s="374"/>
      <c r="D89" s="374"/>
      <c r="E89" s="373" t="s">
        <v>15</v>
      </c>
      <c r="F89" s="376">
        <f>F87-F88</f>
        <v>7028.4900000000007</v>
      </c>
    </row>
    <row r="90" spans="1:6" ht="30" x14ac:dyDescent="0.25">
      <c r="A90" s="373" t="s">
        <v>90</v>
      </c>
      <c r="B90" s="374" t="s">
        <v>85</v>
      </c>
      <c r="C90" s="374"/>
      <c r="D90" s="374"/>
      <c r="E90" s="373" t="s">
        <v>15</v>
      </c>
      <c r="F90" s="376">
        <v>1366.3</v>
      </c>
    </row>
    <row r="91" spans="1:6" ht="30" x14ac:dyDescent="0.25">
      <c r="A91" s="373" t="s">
        <v>93</v>
      </c>
      <c r="B91" s="374" t="s">
        <v>87</v>
      </c>
      <c r="C91" s="374"/>
      <c r="D91" s="374"/>
      <c r="E91" s="373" t="s">
        <v>15</v>
      </c>
      <c r="F91" s="376">
        <v>12296.48</v>
      </c>
    </row>
    <row r="92" spans="1:6" ht="30" x14ac:dyDescent="0.25">
      <c r="A92" s="373" t="s">
        <v>94</v>
      </c>
      <c r="B92" s="374" t="s">
        <v>89</v>
      </c>
      <c r="C92" s="374"/>
      <c r="D92" s="374"/>
      <c r="E92" s="373" t="s">
        <v>15</v>
      </c>
      <c r="F92" s="376">
        <v>1366.82</v>
      </c>
    </row>
    <row r="93" spans="1:6" ht="45" x14ac:dyDescent="0.25">
      <c r="A93" s="373" t="s">
        <v>95</v>
      </c>
      <c r="B93" s="374" t="s">
        <v>444</v>
      </c>
      <c r="C93" s="374"/>
      <c r="D93" s="374"/>
      <c r="E93" s="373" t="s">
        <v>15</v>
      </c>
      <c r="F93" s="376">
        <v>0</v>
      </c>
    </row>
    <row r="94" spans="1:6" x14ac:dyDescent="0.25">
      <c r="A94" s="477" t="s">
        <v>72</v>
      </c>
      <c r="B94" s="478"/>
      <c r="C94" s="478"/>
      <c r="D94" s="478"/>
      <c r="E94" s="478"/>
      <c r="F94" s="478"/>
    </row>
    <row r="95" spans="1:6" x14ac:dyDescent="0.25">
      <c r="A95" s="303" t="s">
        <v>78</v>
      </c>
      <c r="B95" s="310" t="s">
        <v>16</v>
      </c>
      <c r="C95" s="310"/>
      <c r="D95" s="310"/>
      <c r="E95" s="303" t="s">
        <v>5</v>
      </c>
      <c r="F95" s="302" t="s">
        <v>345</v>
      </c>
    </row>
    <row r="96" spans="1:6" x14ac:dyDescent="0.25">
      <c r="A96" s="303" t="s">
        <v>80</v>
      </c>
      <c r="B96" s="310" t="s">
        <v>14</v>
      </c>
      <c r="C96" s="310"/>
      <c r="D96" s="310"/>
      <c r="E96" s="303" t="s">
        <v>5</v>
      </c>
      <c r="F96" s="302" t="s">
        <v>331</v>
      </c>
    </row>
    <row r="97" spans="1:6" x14ac:dyDescent="0.25">
      <c r="A97" s="303" t="s">
        <v>82</v>
      </c>
      <c r="B97" s="310" t="s">
        <v>76</v>
      </c>
      <c r="C97" s="310"/>
      <c r="D97" s="310"/>
      <c r="E97" s="303" t="s">
        <v>77</v>
      </c>
      <c r="F97" s="311">
        <f>F98/D98</f>
        <v>151.3836985774702</v>
      </c>
    </row>
    <row r="98" spans="1:6" x14ac:dyDescent="0.25">
      <c r="A98" s="303" t="s">
        <v>84</v>
      </c>
      <c r="B98" s="310" t="s">
        <v>79</v>
      </c>
      <c r="C98" s="310"/>
      <c r="D98" s="310">
        <v>52.02</v>
      </c>
      <c r="E98" s="303" t="s">
        <v>15</v>
      </c>
      <c r="F98" s="311">
        <v>7874.98</v>
      </c>
    </row>
    <row r="99" spans="1:6" x14ac:dyDescent="0.25">
      <c r="A99" s="303" t="s">
        <v>86</v>
      </c>
      <c r="B99" s="310" t="s">
        <v>81</v>
      </c>
      <c r="C99" s="310"/>
      <c r="D99" s="310"/>
      <c r="E99" s="303" t="s">
        <v>15</v>
      </c>
      <c r="F99" s="311">
        <v>247.23</v>
      </c>
    </row>
    <row r="100" spans="1:6" x14ac:dyDescent="0.25">
      <c r="A100" s="303" t="s">
        <v>88</v>
      </c>
      <c r="B100" s="310" t="s">
        <v>83</v>
      </c>
      <c r="C100" s="310"/>
      <c r="D100" s="310"/>
      <c r="E100" s="303" t="s">
        <v>15</v>
      </c>
      <c r="F100" s="311">
        <f>F98-F99</f>
        <v>7627.75</v>
      </c>
    </row>
    <row r="101" spans="1:6" ht="30" x14ac:dyDescent="0.25">
      <c r="A101" s="303" t="s">
        <v>90</v>
      </c>
      <c r="B101" s="310" t="s">
        <v>85</v>
      </c>
      <c r="C101" s="310"/>
      <c r="D101" s="310"/>
      <c r="E101" s="303" t="s">
        <v>15</v>
      </c>
      <c r="F101" s="311">
        <v>14719.38</v>
      </c>
    </row>
    <row r="102" spans="1:6" ht="30" x14ac:dyDescent="0.25">
      <c r="A102" s="303" t="s">
        <v>93</v>
      </c>
      <c r="B102" s="310" t="s">
        <v>87</v>
      </c>
      <c r="C102" s="310"/>
      <c r="D102" s="310"/>
      <c r="E102" s="303" t="s">
        <v>15</v>
      </c>
      <c r="F102" s="311">
        <v>13246.7</v>
      </c>
    </row>
    <row r="103" spans="1:6" ht="30" x14ac:dyDescent="0.25">
      <c r="A103" s="303" t="s">
        <v>94</v>
      </c>
      <c r="B103" s="310" t="s">
        <v>89</v>
      </c>
      <c r="C103" s="310"/>
      <c r="D103" s="310"/>
      <c r="E103" s="303" t="s">
        <v>15</v>
      </c>
      <c r="F103" s="311">
        <v>1472.68</v>
      </c>
    </row>
    <row r="104" spans="1:6" ht="45" x14ac:dyDescent="0.25">
      <c r="A104" s="303" t="s">
        <v>95</v>
      </c>
      <c r="B104" s="310" t="s">
        <v>444</v>
      </c>
      <c r="C104" s="310"/>
      <c r="D104" s="310"/>
      <c r="E104" s="303" t="s">
        <v>15</v>
      </c>
      <c r="F104" s="311">
        <v>0</v>
      </c>
    </row>
    <row r="105" spans="1:6" x14ac:dyDescent="0.25">
      <c r="A105" s="477" t="s">
        <v>72</v>
      </c>
      <c r="B105" s="478"/>
      <c r="C105" s="478"/>
      <c r="D105" s="478"/>
      <c r="E105" s="478"/>
      <c r="F105" s="478"/>
    </row>
    <row r="106" spans="1:6" x14ac:dyDescent="0.25">
      <c r="A106" s="303" t="s">
        <v>78</v>
      </c>
      <c r="B106" s="310" t="s">
        <v>16</v>
      </c>
      <c r="C106" s="310"/>
      <c r="D106" s="310"/>
      <c r="E106" s="303" t="s">
        <v>5</v>
      </c>
      <c r="F106" s="302" t="s">
        <v>323</v>
      </c>
    </row>
    <row r="107" spans="1:6" x14ac:dyDescent="0.25">
      <c r="A107" s="303" t="s">
        <v>80</v>
      </c>
      <c r="B107" s="310" t="s">
        <v>14</v>
      </c>
      <c r="C107" s="310"/>
      <c r="D107" s="310"/>
      <c r="E107" s="303" t="s">
        <v>5</v>
      </c>
      <c r="F107" s="302" t="s">
        <v>341</v>
      </c>
    </row>
    <row r="108" spans="1:6" x14ac:dyDescent="0.25">
      <c r="A108" s="303" t="s">
        <v>82</v>
      </c>
      <c r="B108" s="310" t="s">
        <v>76</v>
      </c>
      <c r="C108" s="310"/>
      <c r="D108" s="310"/>
      <c r="E108" s="303" t="s">
        <v>77</v>
      </c>
      <c r="F108" s="311">
        <f>F109/D109</f>
        <v>310.90655300494524</v>
      </c>
    </row>
    <row r="109" spans="1:6" x14ac:dyDescent="0.25">
      <c r="A109" s="303" t="s">
        <v>84</v>
      </c>
      <c r="B109" s="310" t="s">
        <v>79</v>
      </c>
      <c r="C109" s="310"/>
      <c r="D109" s="310">
        <v>1852.28</v>
      </c>
      <c r="E109" s="303" t="s">
        <v>15</v>
      </c>
      <c r="F109" s="311">
        <v>575885.99</v>
      </c>
    </row>
    <row r="110" spans="1:6" x14ac:dyDescent="0.25">
      <c r="A110" s="303" t="s">
        <v>86</v>
      </c>
      <c r="B110" s="310" t="s">
        <v>81</v>
      </c>
      <c r="C110" s="310"/>
      <c r="D110" s="310"/>
      <c r="E110" s="303" t="s">
        <v>15</v>
      </c>
      <c r="F110" s="311">
        <v>34117.4</v>
      </c>
    </row>
    <row r="111" spans="1:6" x14ac:dyDescent="0.25">
      <c r="A111" s="303" t="s">
        <v>88</v>
      </c>
      <c r="B111" s="310" t="s">
        <v>83</v>
      </c>
      <c r="C111" s="310"/>
      <c r="D111" s="310"/>
      <c r="E111" s="303" t="s">
        <v>15</v>
      </c>
      <c r="F111" s="311">
        <f>F109-F110</f>
        <v>541768.59</v>
      </c>
    </row>
    <row r="112" spans="1:6" ht="30" x14ac:dyDescent="0.25">
      <c r="A112" s="303" t="s">
        <v>90</v>
      </c>
      <c r="B112" s="310" t="s">
        <v>85</v>
      </c>
      <c r="C112" s="310"/>
      <c r="D112" s="310"/>
      <c r="E112" s="303" t="s">
        <v>15</v>
      </c>
      <c r="F112" s="311">
        <v>602148.17000000004</v>
      </c>
    </row>
    <row r="113" spans="1:6" ht="30" x14ac:dyDescent="0.25">
      <c r="A113" s="303" t="s">
        <v>93</v>
      </c>
      <c r="B113" s="310" t="s">
        <v>87</v>
      </c>
      <c r="C113" s="310"/>
      <c r="D113" s="310"/>
      <c r="E113" s="303" t="s">
        <v>15</v>
      </c>
      <c r="F113" s="311">
        <v>515362.99</v>
      </c>
    </row>
    <row r="114" spans="1:6" ht="30" x14ac:dyDescent="0.25">
      <c r="A114" s="303" t="s">
        <v>94</v>
      </c>
      <c r="B114" s="310" t="s">
        <v>89</v>
      </c>
      <c r="C114" s="310"/>
      <c r="D114" s="310"/>
      <c r="E114" s="303" t="s">
        <v>15</v>
      </c>
      <c r="F114" s="311">
        <v>86785.18</v>
      </c>
    </row>
    <row r="115" spans="1:6" ht="45" x14ac:dyDescent="0.25">
      <c r="A115" s="303" t="s">
        <v>95</v>
      </c>
      <c r="B115" s="310" t="s">
        <v>444</v>
      </c>
      <c r="C115" s="310"/>
      <c r="D115" s="310"/>
      <c r="E115" s="303" t="s">
        <v>15</v>
      </c>
      <c r="F115" s="311">
        <v>46388.43</v>
      </c>
    </row>
    <row r="116" spans="1:6" x14ac:dyDescent="0.25">
      <c r="A116" s="475" t="s">
        <v>92</v>
      </c>
      <c r="B116" s="476"/>
      <c r="C116" s="476"/>
      <c r="D116" s="476"/>
      <c r="E116" s="476"/>
      <c r="F116" s="476"/>
    </row>
    <row r="117" spans="1:6" x14ac:dyDescent="0.25">
      <c r="A117" s="6" t="s">
        <v>96</v>
      </c>
      <c r="B117" s="124" t="s">
        <v>55</v>
      </c>
      <c r="C117" s="124"/>
      <c r="D117" s="124"/>
      <c r="E117" s="6" t="s">
        <v>58</v>
      </c>
      <c r="F117" s="433"/>
    </row>
    <row r="118" spans="1:6" x14ac:dyDescent="0.25">
      <c r="A118" s="6" t="s">
        <v>98</v>
      </c>
      <c r="B118" s="124" t="s">
        <v>57</v>
      </c>
      <c r="C118" s="124"/>
      <c r="D118" s="124"/>
      <c r="E118" s="6" t="s">
        <v>58</v>
      </c>
      <c r="F118" s="433"/>
    </row>
    <row r="119" spans="1:6" ht="30" x14ac:dyDescent="0.25">
      <c r="A119" s="6" t="s">
        <v>100</v>
      </c>
      <c r="B119" s="124" t="s">
        <v>60</v>
      </c>
      <c r="C119" s="124"/>
      <c r="D119" s="124"/>
      <c r="E119" s="6" t="s">
        <v>58</v>
      </c>
      <c r="F119" s="288"/>
    </row>
    <row r="120" spans="1:6" x14ac:dyDescent="0.25">
      <c r="A120" s="6" t="s">
        <v>102</v>
      </c>
      <c r="B120" s="124" t="s">
        <v>62</v>
      </c>
      <c r="C120" s="124"/>
      <c r="D120" s="124"/>
      <c r="E120" s="6" t="s">
        <v>15</v>
      </c>
      <c r="F120" s="311"/>
    </row>
    <row r="121" spans="1:6" x14ac:dyDescent="0.25">
      <c r="A121" s="475" t="s">
        <v>97</v>
      </c>
      <c r="B121" s="476"/>
      <c r="C121" s="476"/>
      <c r="D121" s="476"/>
      <c r="E121" s="476"/>
      <c r="F121" s="476"/>
    </row>
    <row r="122" spans="1:6" ht="30" x14ac:dyDescent="0.25">
      <c r="A122" s="6" t="s">
        <v>446</v>
      </c>
      <c r="B122" s="124" t="s">
        <v>99</v>
      </c>
      <c r="C122" s="124"/>
      <c r="D122" s="124"/>
      <c r="E122" s="6" t="s">
        <v>58</v>
      </c>
      <c r="F122" s="299"/>
    </row>
    <row r="123" spans="1:6" x14ac:dyDescent="0.25">
      <c r="A123" s="6" t="s">
        <v>447</v>
      </c>
      <c r="B123" s="124" t="s">
        <v>101</v>
      </c>
      <c r="C123" s="124"/>
      <c r="D123" s="124"/>
      <c r="E123" s="6" t="s">
        <v>58</v>
      </c>
      <c r="F123" s="299"/>
    </row>
    <row r="124" spans="1:6" ht="30" x14ac:dyDescent="0.25">
      <c r="A124" s="6" t="s">
        <v>448</v>
      </c>
      <c r="B124" s="124" t="s">
        <v>103</v>
      </c>
      <c r="C124" s="124"/>
      <c r="D124" s="124"/>
      <c r="E124" s="6" t="s">
        <v>15</v>
      </c>
      <c r="F124" s="300"/>
    </row>
    <row r="125" spans="1:6" x14ac:dyDescent="0.25">
      <c r="A125" s="142"/>
      <c r="B125" s="283"/>
      <c r="C125" s="283"/>
      <c r="D125" s="283"/>
      <c r="E125" s="142"/>
      <c r="F125" s="142"/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</sheetData>
  <mergeCells count="14">
    <mergeCell ref="C47:C49"/>
    <mergeCell ref="A1:F1"/>
    <mergeCell ref="A6:F6"/>
    <mergeCell ref="A24:F24"/>
    <mergeCell ref="C32:C35"/>
    <mergeCell ref="C39:C42"/>
    <mergeCell ref="A116:F116"/>
    <mergeCell ref="A121:F121"/>
    <mergeCell ref="A60:F60"/>
    <mergeCell ref="A65:F65"/>
    <mergeCell ref="A72:F72"/>
    <mergeCell ref="A83:F83"/>
    <mergeCell ref="A94:F94"/>
    <mergeCell ref="A105:F105"/>
  </mergeCells>
  <pageMargins left="0.51181102362204722" right="0.70866141732283472" top="0.74803149606299213" bottom="0.74803149606299213" header="0.31496062992125984" footer="0.31496062992125984"/>
  <pageSetup paperSize="9" scale="57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22"/>
  <sheetViews>
    <sheetView workbookViewId="0">
      <selection activeCell="F15" sqref="F15"/>
    </sheetView>
  </sheetViews>
  <sheetFormatPr defaultRowHeight="15" x14ac:dyDescent="0.25"/>
  <cols>
    <col min="2" max="2" width="23.140625" customWidth="1"/>
    <col min="3" max="3" width="21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C1" t="s">
        <v>461</v>
      </c>
      <c r="D1" t="s">
        <v>166</v>
      </c>
      <c r="E1" s="122" t="s">
        <v>462</v>
      </c>
      <c r="F1" s="122" t="s">
        <v>231</v>
      </c>
      <c r="G1" s="122" t="s">
        <v>455</v>
      </c>
      <c r="H1" s="122" t="s">
        <v>463</v>
      </c>
      <c r="I1" s="122"/>
      <c r="J1" t="s">
        <v>450</v>
      </c>
      <c r="K1" s="162" t="s">
        <v>451</v>
      </c>
      <c r="L1" s="162" t="s">
        <v>452</v>
      </c>
      <c r="M1" s="162" t="s">
        <v>453</v>
      </c>
    </row>
    <row r="2" spans="1:13" ht="27.75" customHeight="1" x14ac:dyDescent="0.3">
      <c r="A2" s="441" t="s">
        <v>164</v>
      </c>
      <c r="B2" s="441"/>
      <c r="C2" s="33">
        <v>3212030.62</v>
      </c>
      <c r="D2" s="31">
        <f>C2/$C$9*100</f>
        <v>7.6830145771428731</v>
      </c>
      <c r="E2" s="284">
        <f>D2*$E$9/100</f>
        <v>1303894.0276309764</v>
      </c>
      <c r="F2" s="284">
        <f>C2</f>
        <v>3212030.62</v>
      </c>
      <c r="G2" s="284">
        <f>D2*$G$9/100</f>
        <v>3351392.1706634597</v>
      </c>
      <c r="H2" s="10">
        <f>E2+F2-G2</f>
        <v>1164532.4769675168</v>
      </c>
      <c r="I2" s="10">
        <f>E2+F2-G2</f>
        <v>1164532.4769675168</v>
      </c>
      <c r="J2" s="10">
        <f>D2*$J$9/100</f>
        <v>3027930.8670025212</v>
      </c>
      <c r="K2" s="65">
        <f>D2*$K$9/100</f>
        <v>1584810.7064498162</v>
      </c>
      <c r="L2" s="10">
        <f>D2*$L$9/100</f>
        <v>584819.19720719126</v>
      </c>
      <c r="M2" s="10">
        <f>D2*$M$9/100</f>
        <v>550752.05950580142</v>
      </c>
    </row>
    <row r="3" spans="1:13" ht="27" customHeight="1" x14ac:dyDescent="0.3">
      <c r="A3" s="441" t="s">
        <v>112</v>
      </c>
      <c r="B3" s="441"/>
      <c r="C3" s="33">
        <v>4072205.01</v>
      </c>
      <c r="D3" s="31">
        <f t="shared" ref="D3:D8" si="0">C3/$C$9*100</f>
        <v>9.7405081564708862</v>
      </c>
      <c r="E3" s="284">
        <f t="shared" ref="E3:E8" si="1">D3*$E$9/100</f>
        <v>1653073.8401951909</v>
      </c>
      <c r="F3" s="284">
        <f t="shared" ref="F3:F8" si="2">C3</f>
        <v>4072205.01</v>
      </c>
      <c r="G3" s="284">
        <f t="shared" ref="G3:G7" si="3">D3*$G$9/100</f>
        <v>4248887.2624291852</v>
      </c>
      <c r="H3" s="10">
        <f t="shared" ref="H3:H8" si="4">E3+F3-G3</f>
        <v>1476391.5877660057</v>
      </c>
      <c r="I3" s="10">
        <f t="shared" ref="I3:I8" si="5">E3+F3-G3</f>
        <v>1476391.5877660057</v>
      </c>
      <c r="J3" s="10">
        <f t="shared" ref="J3:J8" si="6">D3*$J$9/100</f>
        <v>3838803.7678611265</v>
      </c>
      <c r="K3" s="65">
        <f t="shared" ref="K3:K8" si="7">D3*$K$9/100</f>
        <v>2009219.3575373141</v>
      </c>
      <c r="L3" s="10">
        <f t="shared" ref="L3:L8" si="8">D3*$L$9/100</f>
        <v>741432.42906299012</v>
      </c>
      <c r="M3" s="10">
        <f t="shared" ref="M3:M8" si="9">D3*$M$9/100</f>
        <v>698242.19047679647</v>
      </c>
    </row>
    <row r="4" spans="1:13" ht="30.75" customHeight="1" x14ac:dyDescent="0.3">
      <c r="A4" s="441" t="s">
        <v>115</v>
      </c>
      <c r="B4" s="441"/>
      <c r="C4" s="33">
        <v>1252154.1200000001</v>
      </c>
      <c r="D4" s="31">
        <f t="shared" si="0"/>
        <v>2.9950892425768676</v>
      </c>
      <c r="E4" s="284">
        <f t="shared" si="1"/>
        <v>508300.34700650553</v>
      </c>
      <c r="F4" s="284">
        <f t="shared" si="2"/>
        <v>1252154.1200000001</v>
      </c>
      <c r="G4" s="284">
        <f t="shared" si="3"/>
        <v>1306481.7900870431</v>
      </c>
      <c r="H4" s="10">
        <f t="shared" si="4"/>
        <v>453972.67691946262</v>
      </c>
      <c r="I4" s="10">
        <f t="shared" si="5"/>
        <v>453972.67691946262</v>
      </c>
      <c r="J4" s="10">
        <f t="shared" si="6"/>
        <v>1180386.0419588338</v>
      </c>
      <c r="K4" s="65">
        <f t="shared" si="7"/>
        <v>617810.81511023943</v>
      </c>
      <c r="L4" s="10">
        <f t="shared" si="8"/>
        <v>227981.56489494399</v>
      </c>
      <c r="M4" s="10">
        <f t="shared" si="9"/>
        <v>214701.08538650058</v>
      </c>
    </row>
    <row r="5" spans="1:13" ht="26.25" customHeight="1" x14ac:dyDescent="0.3">
      <c r="A5" s="441" t="s">
        <v>116</v>
      </c>
      <c r="B5" s="441"/>
      <c r="C5" s="33">
        <v>3646449.15</v>
      </c>
      <c r="D5" s="31">
        <f t="shared" si="0"/>
        <v>8.7221217007763876</v>
      </c>
      <c r="E5" s="284">
        <f t="shared" si="1"/>
        <v>1480242.1991684032</v>
      </c>
      <c r="F5" s="284">
        <f t="shared" si="2"/>
        <v>3646449.15</v>
      </c>
      <c r="G5" s="284">
        <f t="shared" si="3"/>
        <v>3804658.9767666743</v>
      </c>
      <c r="H5" s="10">
        <f t="shared" si="4"/>
        <v>1322032.3724017288</v>
      </c>
      <c r="I5" s="10">
        <f t="shared" si="5"/>
        <v>1322032.3724017288</v>
      </c>
      <c r="J5" s="10">
        <f t="shared" si="6"/>
        <v>3437450.39897537</v>
      </c>
      <c r="K5" s="65">
        <f t="shared" si="7"/>
        <v>1799152.1056685415</v>
      </c>
      <c r="L5" s="10">
        <f t="shared" si="8"/>
        <v>663914.42574723798</v>
      </c>
      <c r="M5" s="10">
        <f t="shared" si="9"/>
        <v>625239.79900468036</v>
      </c>
    </row>
    <row r="6" spans="1:13" ht="28.5" customHeight="1" x14ac:dyDescent="0.3">
      <c r="A6" s="441" t="s">
        <v>155</v>
      </c>
      <c r="B6" s="441"/>
      <c r="C6" s="33">
        <v>4696128.6500000004</v>
      </c>
      <c r="D6" s="31">
        <f t="shared" si="0"/>
        <v>11.23290190617432</v>
      </c>
      <c r="E6" s="284">
        <f t="shared" si="1"/>
        <v>1906349.8528297716</v>
      </c>
      <c r="F6" s="284">
        <f t="shared" si="2"/>
        <v>4696128.6500000004</v>
      </c>
      <c r="G6" s="284">
        <f t="shared" si="3"/>
        <v>4899881.3062493047</v>
      </c>
      <c r="H6" s="10">
        <f t="shared" si="4"/>
        <v>1702597.1965804668</v>
      </c>
      <c r="I6" s="10">
        <f t="shared" si="5"/>
        <v>1702597.1965804668</v>
      </c>
      <c r="J6" s="10">
        <f t="shared" si="6"/>
        <v>4426966.7935948502</v>
      </c>
      <c r="K6" s="65">
        <f t="shared" si="7"/>
        <v>2317062.2711516125</v>
      </c>
      <c r="L6" s="10">
        <f t="shared" si="8"/>
        <v>855031.13512494822</v>
      </c>
      <c r="M6" s="10">
        <f t="shared" si="9"/>
        <v>805223.49618563068</v>
      </c>
    </row>
    <row r="7" spans="1:13" ht="26.25" customHeight="1" x14ac:dyDescent="0.3">
      <c r="A7" s="441" t="s">
        <v>154</v>
      </c>
      <c r="B7" s="441"/>
      <c r="C7" s="33">
        <v>2683091.56</v>
      </c>
      <c r="D7" s="31">
        <f t="shared" si="0"/>
        <v>6.4178191325240261</v>
      </c>
      <c r="E7" s="284">
        <f t="shared" si="1"/>
        <v>1089176.1239408981</v>
      </c>
      <c r="F7" s="284">
        <f t="shared" si="2"/>
        <v>2683091.56</v>
      </c>
      <c r="G7" s="284">
        <f t="shared" si="3"/>
        <v>2799503.8376555727</v>
      </c>
      <c r="H7" s="10">
        <f t="shared" si="4"/>
        <v>972763.84628532548</v>
      </c>
      <c r="I7" s="10">
        <f t="shared" si="5"/>
        <v>972763.84628532548</v>
      </c>
      <c r="J7" s="10">
        <f t="shared" si="6"/>
        <v>2529308.3144761384</v>
      </c>
      <c r="K7" s="65">
        <f t="shared" si="7"/>
        <v>1323833.0307925704</v>
      </c>
      <c r="L7" s="10">
        <f t="shared" si="8"/>
        <v>488514.47504338878</v>
      </c>
      <c r="M7" s="10">
        <f t="shared" si="9"/>
        <v>460057.32115736604</v>
      </c>
    </row>
    <row r="8" spans="1:13" ht="33" customHeight="1" x14ac:dyDescent="0.3">
      <c r="A8" s="441" t="s">
        <v>158</v>
      </c>
      <c r="B8" s="441"/>
      <c r="C8" s="33">
        <v>22244846.079999998</v>
      </c>
      <c r="D8" s="31">
        <f t="shared" si="0"/>
        <v>53.20854528433464</v>
      </c>
      <c r="E8" s="284">
        <f t="shared" si="1"/>
        <v>9030088.869228255</v>
      </c>
      <c r="F8" s="284">
        <f t="shared" si="2"/>
        <v>22244846.079999998</v>
      </c>
      <c r="G8" s="284">
        <f>D8*$G$9/100</f>
        <v>23209991.376148757</v>
      </c>
      <c r="H8" s="10">
        <f t="shared" si="4"/>
        <v>8064943.5730794966</v>
      </c>
      <c r="I8" s="10">
        <f t="shared" si="5"/>
        <v>8064943.5730794966</v>
      </c>
      <c r="J8" s="10">
        <f t="shared" si="6"/>
        <v>20969867.366131157</v>
      </c>
      <c r="K8" s="65">
        <f t="shared" si="7"/>
        <v>10975571.033289908</v>
      </c>
      <c r="L8" s="10">
        <f t="shared" si="8"/>
        <v>4050152.2449693005</v>
      </c>
      <c r="M8" s="10">
        <f t="shared" si="9"/>
        <v>3814221.0462332242</v>
      </c>
    </row>
    <row r="9" spans="1:13" ht="30.75" customHeight="1" x14ac:dyDescent="0.25">
      <c r="A9" s="440" t="s">
        <v>169</v>
      </c>
      <c r="B9" s="440"/>
      <c r="C9" s="176">
        <f>SUM(C2:C8)</f>
        <v>41806905.189999998</v>
      </c>
      <c r="D9" s="177">
        <f>SUM(D2:D8)</f>
        <v>100</v>
      </c>
      <c r="E9" s="285">
        <v>16971125.260000002</v>
      </c>
      <c r="F9" s="285">
        <f>SUM(F2:F8)</f>
        <v>41806905.189999998</v>
      </c>
      <c r="G9" s="285">
        <v>43620796.719999999</v>
      </c>
      <c r="H9" s="10">
        <f>SUM(H2:H8)</f>
        <v>15157233.730000002</v>
      </c>
      <c r="J9" s="10">
        <f>1033805.33+38376908.22</f>
        <v>39410713.549999997</v>
      </c>
      <c r="K9">
        <f>1600000+19027459.32</f>
        <v>20627459.32</v>
      </c>
      <c r="L9" s="10">
        <f>(500000+14280282.47)*0.515</f>
        <v>7611845.4720500009</v>
      </c>
      <c r="M9" s="10">
        <f>(500000+14280282.47)*0.485</f>
        <v>7168436.9979499998</v>
      </c>
    </row>
    <row r="11" spans="1:13" x14ac:dyDescent="0.25">
      <c r="H11" s="289">
        <v>15157234.279999999</v>
      </c>
    </row>
    <row r="12" spans="1:13" ht="18.75" x14ac:dyDescent="0.3">
      <c r="A12" s="441" t="s">
        <v>164</v>
      </c>
      <c r="B12" s="441"/>
      <c r="C12" s="274"/>
      <c r="D12" s="31">
        <f>C12/$C$19*100</f>
        <v>0</v>
      </c>
      <c r="F12" s="10">
        <f>C12</f>
        <v>0</v>
      </c>
      <c r="G12" s="290">
        <f>D12*G19/100</f>
        <v>0</v>
      </c>
      <c r="H12" s="290">
        <f>F12-G12</f>
        <v>0</v>
      </c>
    </row>
    <row r="13" spans="1:13" ht="18.75" x14ac:dyDescent="0.3">
      <c r="A13" s="441" t="s">
        <v>112</v>
      </c>
      <c r="B13" s="441"/>
      <c r="C13" s="274"/>
      <c r="D13" s="31">
        <f t="shared" ref="D13:D18" si="10">C13/$C$19*100</f>
        <v>0</v>
      </c>
      <c r="F13" s="10">
        <f t="shared" ref="F13:F18" si="11">C13</f>
        <v>0</v>
      </c>
      <c r="G13" s="290">
        <f>D13*G19/100</f>
        <v>0</v>
      </c>
      <c r="H13" s="290">
        <f t="shared" ref="H13:H18" si="12">F13-G13</f>
        <v>0</v>
      </c>
    </row>
    <row r="14" spans="1:13" ht="18.75" x14ac:dyDescent="0.3">
      <c r="A14" s="441" t="s">
        <v>115</v>
      </c>
      <c r="B14" s="441"/>
      <c r="C14" s="274">
        <v>859521.11</v>
      </c>
      <c r="D14" s="31">
        <f t="shared" si="10"/>
        <v>54.309363990855573</v>
      </c>
      <c r="F14" s="10">
        <f t="shared" si="11"/>
        <v>859521.11</v>
      </c>
      <c r="G14" s="290">
        <f>D14*G19/100</f>
        <v>783468.24809711869</v>
      </c>
      <c r="H14" s="290">
        <f>F14-G14</f>
        <v>76052.861902881297</v>
      </c>
    </row>
    <row r="15" spans="1:13" ht="18.75" x14ac:dyDescent="0.3">
      <c r="A15" s="441" t="s">
        <v>116</v>
      </c>
      <c r="B15" s="441"/>
      <c r="C15" s="274"/>
      <c r="D15" s="31">
        <f t="shared" si="10"/>
        <v>0</v>
      </c>
      <c r="F15" s="10">
        <f t="shared" si="11"/>
        <v>0</v>
      </c>
      <c r="G15" s="290">
        <f>D15*G19/100</f>
        <v>0</v>
      </c>
      <c r="H15" s="290">
        <f t="shared" si="12"/>
        <v>0</v>
      </c>
    </row>
    <row r="16" spans="1:13" ht="18.75" x14ac:dyDescent="0.3">
      <c r="A16" s="441" t="s">
        <v>155</v>
      </c>
      <c r="B16" s="441"/>
      <c r="C16" s="274"/>
      <c r="D16" s="31">
        <f t="shared" si="10"/>
        <v>0</v>
      </c>
      <c r="F16" s="10">
        <f t="shared" si="11"/>
        <v>0</v>
      </c>
      <c r="G16" s="290">
        <f>D16*G19/100</f>
        <v>0</v>
      </c>
      <c r="H16" s="290">
        <f t="shared" si="12"/>
        <v>0</v>
      </c>
    </row>
    <row r="17" spans="1:8" ht="18.75" x14ac:dyDescent="0.3">
      <c r="A17" s="441" t="s">
        <v>154</v>
      </c>
      <c r="B17" s="441"/>
      <c r="C17" s="274">
        <v>723117.77</v>
      </c>
      <c r="D17" s="31">
        <f t="shared" si="10"/>
        <v>45.690636009144427</v>
      </c>
      <c r="F17" s="10">
        <f t="shared" si="11"/>
        <v>723117.77</v>
      </c>
      <c r="G17" s="290">
        <f>D17*G19/100</f>
        <v>659134.26190288132</v>
      </c>
      <c r="H17" s="290">
        <f t="shared" si="12"/>
        <v>63983.508097118698</v>
      </c>
    </row>
    <row r="18" spans="1:8" ht="18.75" x14ac:dyDescent="0.3">
      <c r="A18" s="441" t="s">
        <v>158</v>
      </c>
      <c r="B18" s="441"/>
      <c r="C18" s="274"/>
      <c r="D18" s="31">
        <f t="shared" si="10"/>
        <v>0</v>
      </c>
      <c r="F18" s="10">
        <f t="shared" si="11"/>
        <v>0</v>
      </c>
      <c r="G18" s="290">
        <f>D18*G19/100</f>
        <v>0</v>
      </c>
      <c r="H18" s="290">
        <f t="shared" si="12"/>
        <v>0</v>
      </c>
    </row>
    <row r="19" spans="1:8" x14ac:dyDescent="0.25">
      <c r="A19" s="440" t="s">
        <v>169</v>
      </c>
      <c r="B19" s="440"/>
      <c r="C19" s="176">
        <f>SUM(C12:C18)</f>
        <v>1582638.88</v>
      </c>
      <c r="D19" s="177">
        <v>100</v>
      </c>
      <c r="F19" s="10">
        <f>SUM(F12:F18)</f>
        <v>1582638.88</v>
      </c>
      <c r="G19" s="289">
        <v>1442602.51</v>
      </c>
      <c r="H19" s="290">
        <f>SUM(H12:H18)</f>
        <v>140036.37</v>
      </c>
    </row>
    <row r="22" spans="1:8" ht="12.75" customHeight="1" x14ac:dyDescent="0.25"/>
  </sheetData>
  <mergeCells count="16">
    <mergeCell ref="A7:B7"/>
    <mergeCell ref="A2:B2"/>
    <mergeCell ref="A3:B3"/>
    <mergeCell ref="A4:B4"/>
    <mergeCell ref="A5:B5"/>
    <mergeCell ref="A6:B6"/>
    <mergeCell ref="A16:B16"/>
    <mergeCell ref="A17:B17"/>
    <mergeCell ref="A18:B18"/>
    <mergeCell ref="A19:B19"/>
    <mergeCell ref="A8:B8"/>
    <mergeCell ref="A9:B9"/>
    <mergeCell ref="A12:B12"/>
    <mergeCell ref="A13:B13"/>
    <mergeCell ref="A14:B14"/>
    <mergeCell ref="A15:B1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22"/>
  <sheetViews>
    <sheetView workbookViewId="0">
      <selection activeCell="E18" sqref="E18"/>
    </sheetView>
  </sheetViews>
  <sheetFormatPr defaultRowHeight="15" x14ac:dyDescent="0.25"/>
  <cols>
    <col min="2" max="2" width="23.140625" customWidth="1"/>
    <col min="3" max="3" width="21.140625" customWidth="1"/>
    <col min="4" max="4" width="16.140625" customWidth="1"/>
    <col min="5" max="7" width="20" customWidth="1"/>
    <col min="8" max="10" width="19.5703125" customWidth="1"/>
    <col min="11" max="11" width="22.140625" customWidth="1"/>
    <col min="12" max="12" width="13.28515625" customWidth="1"/>
    <col min="13" max="13" width="15.140625" customWidth="1"/>
    <col min="14" max="14" width="16.28515625" customWidth="1"/>
  </cols>
  <sheetData>
    <row r="1" spans="1:14" ht="45" x14ac:dyDescent="0.25">
      <c r="C1" t="s">
        <v>461</v>
      </c>
      <c r="D1" t="s">
        <v>166</v>
      </c>
      <c r="E1" s="122" t="s">
        <v>466</v>
      </c>
      <c r="F1" s="122" t="s">
        <v>231</v>
      </c>
      <c r="G1" s="122" t="s">
        <v>455</v>
      </c>
      <c r="H1" s="122" t="s">
        <v>467</v>
      </c>
      <c r="I1" s="122"/>
      <c r="J1" s="122"/>
      <c r="K1" t="s">
        <v>450</v>
      </c>
      <c r="L1" s="162" t="s">
        <v>451</v>
      </c>
      <c r="M1" s="162" t="s">
        <v>452</v>
      </c>
      <c r="N1" s="162" t="s">
        <v>453</v>
      </c>
    </row>
    <row r="2" spans="1:14" ht="27.75" customHeight="1" x14ac:dyDescent="0.3">
      <c r="A2" s="441" t="s">
        <v>164</v>
      </c>
      <c r="B2" s="441"/>
      <c r="C2" s="33">
        <f>759778.94</f>
        <v>759778.94</v>
      </c>
      <c r="D2" s="31">
        <f>C2/$C$9*100</f>
        <v>7.8894861321133023</v>
      </c>
      <c r="E2" s="284">
        <f>D2*$E$9/100</f>
        <v>272683.862639317</v>
      </c>
      <c r="F2" s="284">
        <f>C2</f>
        <v>759778.94</v>
      </c>
      <c r="G2" s="284">
        <f>D2*$G$9/100</f>
        <v>936227.80463867227</v>
      </c>
      <c r="H2" s="10">
        <f>E2+F2-G2</f>
        <v>96234.998000644729</v>
      </c>
      <c r="I2" s="10">
        <f>E2+F2-G2</f>
        <v>96234.998000644729</v>
      </c>
      <c r="J2" s="10">
        <f>E2+F2-G2</f>
        <v>96234.998000644729</v>
      </c>
      <c r="K2" s="10">
        <f>D2*$K$9/100</f>
        <v>3109302.7800941481</v>
      </c>
      <c r="L2" s="65">
        <f>D2*$L$9/100</f>
        <v>1627400.5424587131</v>
      </c>
      <c r="M2" s="10">
        <f>D2*$M$9/100</f>
        <v>600535.49291527912</v>
      </c>
      <c r="N2" s="10">
        <f>D2*$N$9/100</f>
        <v>565552.84284254443</v>
      </c>
    </row>
    <row r="3" spans="1:14" ht="27" customHeight="1" x14ac:dyDescent="0.3">
      <c r="A3" s="441" t="s">
        <v>112</v>
      </c>
      <c r="B3" s="441"/>
      <c r="C3" s="33">
        <f>1047160.18</f>
        <v>1047160.18</v>
      </c>
      <c r="D3" s="31">
        <f t="shared" ref="D3:D8" si="0">C3/$C$9*100</f>
        <v>10.873630846113306</v>
      </c>
      <c r="E3" s="284">
        <f t="shared" ref="E3:E8" si="1">D3*$E$9/100</f>
        <v>375824.68748670834</v>
      </c>
      <c r="F3" s="284">
        <f t="shared" ref="F3:F8" si="2">C3</f>
        <v>1047160.18</v>
      </c>
      <c r="G3" s="284">
        <f t="shared" ref="G3:G7" si="3">D3*$G$9/100</f>
        <v>1290349.6330477877</v>
      </c>
      <c r="H3" s="10">
        <f t="shared" ref="H3:H8" si="4">E3+F3-G3</f>
        <v>132635.23443892063</v>
      </c>
      <c r="I3" s="10">
        <f t="shared" ref="I3:I8" si="5">E3+F3-G3</f>
        <v>132635.23443892063</v>
      </c>
      <c r="J3" s="10">
        <f t="shared" ref="J3:J8" si="6">E3+F3-G3</f>
        <v>132635.23443892063</v>
      </c>
      <c r="K3" s="10">
        <f t="shared" ref="K3:K8" si="7">D3*$K$9/100</f>
        <v>4285375.5052461559</v>
      </c>
      <c r="L3" s="65">
        <f t="shared" ref="L3:L8" si="8">D3*$L$9/100</f>
        <v>2242953.779388994</v>
      </c>
      <c r="M3" s="10">
        <f t="shared" ref="M3:M8" si="9">D3*$M$9/100</f>
        <v>827683.97720730782</v>
      </c>
      <c r="N3" s="10">
        <f t="shared" ref="N3:N8" si="10">D3*$N$9/100</f>
        <v>779469.37659328978</v>
      </c>
    </row>
    <row r="4" spans="1:14" ht="30.75" customHeight="1" x14ac:dyDescent="0.3">
      <c r="A4" s="441" t="s">
        <v>115</v>
      </c>
      <c r="B4" s="441"/>
      <c r="C4" s="33">
        <f>360777.5</f>
        <v>360777.5</v>
      </c>
      <c r="D4" s="31">
        <f t="shared" si="0"/>
        <v>3.7462858381261621</v>
      </c>
      <c r="E4" s="284">
        <f t="shared" si="1"/>
        <v>129482.66538337611</v>
      </c>
      <c r="F4" s="284">
        <f t="shared" si="2"/>
        <v>360777.5</v>
      </c>
      <c r="G4" s="284">
        <f>D4*$G$9/100</f>
        <v>444563.42365587101</v>
      </c>
      <c r="H4" s="10">
        <f t="shared" si="4"/>
        <v>45696.741727505112</v>
      </c>
      <c r="I4" s="10">
        <f t="shared" si="5"/>
        <v>45696.741727505112</v>
      </c>
      <c r="J4" s="10">
        <f t="shared" si="6"/>
        <v>45696.741727505112</v>
      </c>
      <c r="K4" s="10">
        <f t="shared" si="7"/>
        <v>1476437.9804281185</v>
      </c>
      <c r="L4" s="65">
        <f t="shared" si="8"/>
        <v>772763.58727039513</v>
      </c>
      <c r="M4" s="10">
        <f t="shared" si="9"/>
        <v>285161.4889394567</v>
      </c>
      <c r="N4" s="10">
        <f t="shared" si="10"/>
        <v>268550.14006919705</v>
      </c>
    </row>
    <row r="5" spans="1:14" ht="26.25" customHeight="1" x14ac:dyDescent="0.3">
      <c r="A5" s="441" t="s">
        <v>116</v>
      </c>
      <c r="B5" s="441"/>
      <c r="C5" s="33">
        <v>999063.68</v>
      </c>
      <c r="D5" s="31">
        <f t="shared" si="0"/>
        <v>10.374200485812468</v>
      </c>
      <c r="E5" s="284">
        <f t="shared" si="1"/>
        <v>358562.90421138884</v>
      </c>
      <c r="F5" s="284">
        <f t="shared" si="2"/>
        <v>999063.68</v>
      </c>
      <c r="G5" s="284">
        <f t="shared" si="3"/>
        <v>1231083.340926287</v>
      </c>
      <c r="H5" s="10">
        <f t="shared" si="4"/>
        <v>126543.24328510184</v>
      </c>
      <c r="I5" s="10">
        <f t="shared" si="5"/>
        <v>126543.24328510184</v>
      </c>
      <c r="J5" s="10">
        <f t="shared" si="6"/>
        <v>126543.24328510184</v>
      </c>
      <c r="K5" s="10">
        <f t="shared" si="7"/>
        <v>4088546.4365662597</v>
      </c>
      <c r="L5" s="65">
        <f t="shared" si="8"/>
        <v>2139933.9849862093</v>
      </c>
      <c r="M5" s="10">
        <f t="shared" si="9"/>
        <v>789668.10994070547</v>
      </c>
      <c r="N5" s="10">
        <f t="shared" si="10"/>
        <v>743668.02586648951</v>
      </c>
    </row>
    <row r="6" spans="1:14" ht="28.5" customHeight="1" x14ac:dyDescent="0.3">
      <c r="A6" s="441" t="s">
        <v>155</v>
      </c>
      <c r="B6" s="441"/>
      <c r="C6" s="33">
        <v>1072641.56</v>
      </c>
      <c r="D6" s="31">
        <f t="shared" si="0"/>
        <v>11.138227538063084</v>
      </c>
      <c r="E6" s="284">
        <f t="shared" si="1"/>
        <v>384969.92797439574</v>
      </c>
      <c r="F6" s="284">
        <f t="shared" si="2"/>
        <v>1072641.56</v>
      </c>
      <c r="G6" s="284">
        <f t="shared" si="3"/>
        <v>1321748.7350768119</v>
      </c>
      <c r="H6" s="10">
        <f t="shared" si="4"/>
        <v>135862.75289758388</v>
      </c>
      <c r="I6" s="10">
        <f t="shared" si="5"/>
        <v>135862.75289758388</v>
      </c>
      <c r="J6" s="10">
        <f t="shared" si="6"/>
        <v>135862.75289758388</v>
      </c>
      <c r="K6" s="10">
        <f t="shared" si="7"/>
        <v>4389654.9495732598</v>
      </c>
      <c r="L6" s="65">
        <f t="shared" si="8"/>
        <v>2297533.3543830006</v>
      </c>
      <c r="M6" s="10">
        <f t="shared" si="9"/>
        <v>847824.66852268111</v>
      </c>
      <c r="N6" s="10">
        <f t="shared" si="10"/>
        <v>798436.82375436951</v>
      </c>
    </row>
    <row r="7" spans="1:14" ht="26.25" customHeight="1" x14ac:dyDescent="0.3">
      <c r="A7" s="441" t="s">
        <v>154</v>
      </c>
      <c r="B7" s="441"/>
      <c r="C7" s="33">
        <v>798917.41</v>
      </c>
      <c r="D7" s="31">
        <f>C7/$C$9*100</f>
        <v>8.2958969972224779</v>
      </c>
      <c r="E7" s="284">
        <f t="shared" si="1"/>
        <v>286730.61836723046</v>
      </c>
      <c r="F7" s="284">
        <f t="shared" si="2"/>
        <v>798917.41</v>
      </c>
      <c r="G7" s="284">
        <f t="shared" si="3"/>
        <v>984455.67976905766</v>
      </c>
      <c r="H7" s="10">
        <f t="shared" si="4"/>
        <v>101192.34859817277</v>
      </c>
      <c r="I7" s="10">
        <f t="shared" si="5"/>
        <v>101192.34859817277</v>
      </c>
      <c r="J7" s="10">
        <f t="shared" si="6"/>
        <v>101192.34859817277</v>
      </c>
      <c r="K7" s="10">
        <f t="shared" si="7"/>
        <v>3269472.2019784022</v>
      </c>
      <c r="L7" s="65">
        <f t="shared" si="8"/>
        <v>1711232.7783311682</v>
      </c>
      <c r="M7" s="10">
        <f t="shared" si="9"/>
        <v>631470.85994901124</v>
      </c>
      <c r="N7" s="10">
        <f t="shared" si="10"/>
        <v>594686.14966071921</v>
      </c>
    </row>
    <row r="8" spans="1:14" ht="33" customHeight="1" x14ac:dyDescent="0.3">
      <c r="A8" s="441" t="s">
        <v>158</v>
      </c>
      <c r="B8" s="441"/>
      <c r="C8" s="33">
        <v>4591932.3</v>
      </c>
      <c r="D8" s="31">
        <f t="shared" si="0"/>
        <v>47.682272162549197</v>
      </c>
      <c r="E8" s="284">
        <f t="shared" si="1"/>
        <v>1648039.6739375833</v>
      </c>
      <c r="F8" s="284">
        <f t="shared" si="2"/>
        <v>4591932.3</v>
      </c>
      <c r="G8" s="284">
        <f>D8*$G$9/100</f>
        <v>5658349.382885512</v>
      </c>
      <c r="H8" s="10">
        <f t="shared" si="4"/>
        <v>581622.59105207119</v>
      </c>
      <c r="I8" s="10">
        <f t="shared" si="5"/>
        <v>581622.59105207119</v>
      </c>
      <c r="J8" s="10">
        <f t="shared" si="6"/>
        <v>581622.59105207119</v>
      </c>
      <c r="K8" s="10">
        <f t="shared" si="7"/>
        <v>18791923.696113653</v>
      </c>
      <c r="L8" s="65">
        <f t="shared" si="8"/>
        <v>9835641.29318152</v>
      </c>
      <c r="M8" s="10">
        <f t="shared" si="9"/>
        <v>3629500.874575559</v>
      </c>
      <c r="N8" s="10">
        <f t="shared" si="10"/>
        <v>3418073.6391633898</v>
      </c>
    </row>
    <row r="9" spans="1:14" ht="30.75" customHeight="1" x14ac:dyDescent="0.25">
      <c r="A9" s="440" t="s">
        <v>169</v>
      </c>
      <c r="B9" s="440"/>
      <c r="C9" s="176">
        <f>SUM(C2:C8)</f>
        <v>9630271.5700000003</v>
      </c>
      <c r="D9" s="177">
        <f>SUM(D2:D8)</f>
        <v>100</v>
      </c>
      <c r="E9" s="285">
        <v>3456294.34</v>
      </c>
      <c r="F9" s="285">
        <f>SUM(F2:F8)</f>
        <v>9630271.5700000003</v>
      </c>
      <c r="G9" s="285">
        <f>11500369+366409</f>
        <v>11866778</v>
      </c>
      <c r="H9" s="10">
        <f>SUM(H2:H8)</f>
        <v>1219787.9100000001</v>
      </c>
      <c r="I9" s="10">
        <f>SUM(I2:I8)</f>
        <v>1219787.9100000001</v>
      </c>
      <c r="K9" s="10">
        <f>1033805.33+38376908.22</f>
        <v>39410713.549999997</v>
      </c>
      <c r="L9">
        <f>1600000+19027459.32</f>
        <v>20627459.32</v>
      </c>
      <c r="M9" s="10">
        <f>(500000+14280282.47)*0.515</f>
        <v>7611845.4720500009</v>
      </c>
      <c r="N9" s="10">
        <f>(500000+14280282.47)*0.485</f>
        <v>7168436.9979499998</v>
      </c>
    </row>
    <row r="10" spans="1:14" x14ac:dyDescent="0.25">
      <c r="F10" s="289">
        <v>9263863.4399999995</v>
      </c>
      <c r="G10" s="289">
        <v>9342361.9499999993</v>
      </c>
      <c r="H10" s="289">
        <v>1219788</v>
      </c>
    </row>
    <row r="12" spans="1:14" ht="18.75" x14ac:dyDescent="0.3">
      <c r="A12" s="441" t="s">
        <v>164</v>
      </c>
      <c r="B12" s="441"/>
      <c r="C12" s="274">
        <v>802470.62</v>
      </c>
      <c r="D12" s="31">
        <f>C12/$C$19*100</f>
        <v>7.7062049280462048</v>
      </c>
      <c r="F12" s="10">
        <f>C12</f>
        <v>802470.62</v>
      </c>
      <c r="G12" s="290">
        <f>D12*G19/100</f>
        <v>821216.55763587216</v>
      </c>
      <c r="H12" s="290">
        <f>F12-G12</f>
        <v>-18745.937635872164</v>
      </c>
      <c r="I12" s="290"/>
    </row>
    <row r="13" spans="1:14" ht="18.75" x14ac:dyDescent="0.3">
      <c r="A13" s="441" t="s">
        <v>112</v>
      </c>
      <c r="B13" s="441"/>
      <c r="C13" s="274">
        <v>1099906.47</v>
      </c>
      <c r="D13" s="31">
        <f t="shared" ref="D13:D18" si="11">C13/$C$19*100</f>
        <v>10.562510886073193</v>
      </c>
      <c r="F13" s="10">
        <f t="shared" ref="F13:F18" si="12">C13</f>
        <v>1099906.47</v>
      </c>
      <c r="G13" s="290">
        <f>D13*G19/100</f>
        <v>1125600.5920999621</v>
      </c>
      <c r="H13" s="290">
        <f t="shared" ref="H13:H18" si="13">F13-G13</f>
        <v>-25694.122099962085</v>
      </c>
      <c r="I13" s="290"/>
    </row>
    <row r="14" spans="1:14" ht="18.75" x14ac:dyDescent="0.3">
      <c r="A14" s="441" t="s">
        <v>115</v>
      </c>
      <c r="B14" s="441"/>
      <c r="C14" s="274">
        <v>612858.53</v>
      </c>
      <c r="D14" s="31">
        <f t="shared" si="11"/>
        <v>5.8853412279207848</v>
      </c>
      <c r="F14" s="10">
        <f t="shared" si="12"/>
        <v>612858.53</v>
      </c>
      <c r="G14" s="290">
        <f>D14*G19/100</f>
        <v>627175.07629672589</v>
      </c>
      <c r="H14" s="290">
        <f t="shared" si="13"/>
        <v>-14316.546296725865</v>
      </c>
      <c r="I14" s="290"/>
    </row>
    <row r="15" spans="1:14" ht="18.75" x14ac:dyDescent="0.3">
      <c r="A15" s="441" t="s">
        <v>116</v>
      </c>
      <c r="B15" s="441"/>
      <c r="C15" s="274">
        <v>1039619.63</v>
      </c>
      <c r="D15" s="31">
        <f t="shared" si="11"/>
        <v>9.9835703841712888</v>
      </c>
      <c r="F15" s="10">
        <f t="shared" si="12"/>
        <v>1039619.63</v>
      </c>
      <c r="G15" s="290">
        <f>D15*G19/100</f>
        <v>1063905.434692773</v>
      </c>
      <c r="H15" s="290">
        <f t="shared" si="13"/>
        <v>-24285.804692773032</v>
      </c>
      <c r="I15" s="290"/>
    </row>
    <row r="16" spans="1:14" ht="18.75" x14ac:dyDescent="0.3">
      <c r="A16" s="441" t="s">
        <v>155</v>
      </c>
      <c r="B16" s="441"/>
      <c r="C16" s="274">
        <v>1247654.3700000001</v>
      </c>
      <c r="D16" s="31">
        <f t="shared" si="11"/>
        <v>11.981348618834648</v>
      </c>
      <c r="F16" s="10">
        <f t="shared" si="12"/>
        <v>1247654.3700000001</v>
      </c>
      <c r="G16" s="290">
        <f>D16*G19/100</f>
        <v>1276799.9242772937</v>
      </c>
      <c r="H16" s="290">
        <f t="shared" si="13"/>
        <v>-29145.554277293617</v>
      </c>
      <c r="I16" s="290"/>
    </row>
    <row r="17" spans="1:9" ht="18.75" x14ac:dyDescent="0.3">
      <c r="A17" s="441" t="s">
        <v>154</v>
      </c>
      <c r="B17" s="441"/>
      <c r="C17" s="274">
        <v>1019889.04</v>
      </c>
      <c r="D17" s="31">
        <f t="shared" si="11"/>
        <v>9.794095572132365</v>
      </c>
      <c r="F17" s="10">
        <f t="shared" si="12"/>
        <v>1019889.04</v>
      </c>
      <c r="G17" s="290">
        <f>D17*G19/100</f>
        <v>1043713.9326039806</v>
      </c>
      <c r="H17" s="290">
        <f t="shared" si="13"/>
        <v>-23824.89260398061</v>
      </c>
      <c r="I17" s="290"/>
    </row>
    <row r="18" spans="1:9" ht="18.75" x14ac:dyDescent="0.3">
      <c r="A18" s="441" t="s">
        <v>158</v>
      </c>
      <c r="B18" s="441"/>
      <c r="C18" s="274">
        <v>4590906.3</v>
      </c>
      <c r="D18" s="31">
        <f t="shared" si="11"/>
        <v>44.086928382821505</v>
      </c>
      <c r="F18" s="10">
        <f t="shared" si="12"/>
        <v>4590906.3</v>
      </c>
      <c r="G18" s="290">
        <f>D18*G19/100</f>
        <v>4698151.1523933914</v>
      </c>
      <c r="H18" s="290">
        <f t="shared" si="13"/>
        <v>-107244.85239339154</v>
      </c>
      <c r="I18" s="290"/>
    </row>
    <row r="19" spans="1:9" x14ac:dyDescent="0.25">
      <c r="A19" s="440" t="s">
        <v>169</v>
      </c>
      <c r="B19" s="440"/>
      <c r="C19" s="176">
        <f>SUM(C12:C18)</f>
        <v>10413304.960000001</v>
      </c>
      <c r="D19" s="177">
        <v>100</v>
      </c>
      <c r="F19" s="10">
        <f>SUM(F12:F18)</f>
        <v>10413304.960000001</v>
      </c>
      <c r="G19" s="289">
        <v>10656562.67</v>
      </c>
      <c r="H19" s="290">
        <f>SUM(H12:H18)</f>
        <v>-243257.70999999892</v>
      </c>
      <c r="I19" s="290"/>
    </row>
    <row r="20" spans="1:9" x14ac:dyDescent="0.25">
      <c r="G20" s="289">
        <v>10656562.67</v>
      </c>
      <c r="H20" s="289">
        <v>88278.36</v>
      </c>
    </row>
    <row r="22" spans="1:9" ht="12.75" customHeight="1" x14ac:dyDescent="0.25"/>
  </sheetData>
  <mergeCells count="16">
    <mergeCell ref="A7:B7"/>
    <mergeCell ref="A2:B2"/>
    <mergeCell ref="A3:B3"/>
    <mergeCell ref="A4:B4"/>
    <mergeCell ref="A5:B5"/>
    <mergeCell ref="A6:B6"/>
    <mergeCell ref="A16:B16"/>
    <mergeCell ref="A17:B17"/>
    <mergeCell ref="A18:B18"/>
    <mergeCell ref="A19:B19"/>
    <mergeCell ref="A8:B8"/>
    <mergeCell ref="A9:B9"/>
    <mergeCell ref="A12:B12"/>
    <mergeCell ref="A13:B13"/>
    <mergeCell ref="A14:B14"/>
    <mergeCell ref="A15:B1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20"/>
  <sheetViews>
    <sheetView topLeftCell="A3" workbookViewId="0">
      <selection sqref="A1:H20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A1" s="442" t="s">
        <v>332</v>
      </c>
      <c r="B1" s="442"/>
      <c r="C1" t="s">
        <v>461</v>
      </c>
      <c r="D1" t="s">
        <v>166</v>
      </c>
      <c r="E1" s="122" t="s">
        <v>465</v>
      </c>
      <c r="F1" s="122" t="s">
        <v>231</v>
      </c>
      <c r="G1" s="122" t="s">
        <v>455</v>
      </c>
      <c r="H1" s="122" t="s">
        <v>464</v>
      </c>
      <c r="I1" s="122"/>
      <c r="K1" s="162"/>
      <c r="L1" s="162"/>
      <c r="M1" s="162"/>
    </row>
    <row r="2" spans="1:13" ht="33" customHeight="1" x14ac:dyDescent="0.3">
      <c r="A2" s="441" t="s">
        <v>164</v>
      </c>
      <c r="B2" s="441"/>
      <c r="C2" s="33">
        <v>759778.94</v>
      </c>
      <c r="D2" s="31">
        <f>C2/$C$9*100</f>
        <v>8.2903887277346104</v>
      </c>
      <c r="E2" s="284">
        <f>D2*$E$9/100</f>
        <v>286540.23636068933</v>
      </c>
      <c r="F2" s="284">
        <f>C2</f>
        <v>759778.94</v>
      </c>
      <c r="G2" s="284">
        <f>D2*$G$9/100</f>
        <v>768010.29038248758</v>
      </c>
      <c r="H2" s="10">
        <f>E2+F2-G2</f>
        <v>278308.88597820175</v>
      </c>
      <c r="I2" s="10"/>
      <c r="J2" s="10"/>
      <c r="K2" s="65"/>
      <c r="L2" s="10"/>
      <c r="M2" s="10"/>
    </row>
    <row r="3" spans="1:13" ht="27" customHeight="1" x14ac:dyDescent="0.3">
      <c r="A3" s="441" t="s">
        <v>112</v>
      </c>
      <c r="B3" s="441"/>
      <c r="C3" s="33">
        <v>1047160.18</v>
      </c>
      <c r="D3" s="31">
        <f t="shared" ref="D3:D8" si="0">C3/$C$9*100</f>
        <v>11.426172134232289</v>
      </c>
      <c r="E3" s="284">
        <f t="shared" ref="E3:E8" si="1">D3*$E$9/100</f>
        <v>394922.14075412782</v>
      </c>
      <c r="F3" s="284">
        <f t="shared" ref="F3:F8" si="2">C3</f>
        <v>1047160.18</v>
      </c>
      <c r="G3" s="284">
        <f t="shared" ref="G3:G8" si="3">D3*$G$9/100</f>
        <v>1058504.9829346125</v>
      </c>
      <c r="H3" s="10">
        <f t="shared" ref="H3:H8" si="4">E3+F3-G3</f>
        <v>383577.33781951526</v>
      </c>
      <c r="I3" s="10"/>
      <c r="J3" s="10"/>
      <c r="K3" s="65"/>
      <c r="L3" s="10"/>
      <c r="M3" s="10"/>
    </row>
    <row r="4" spans="1:13" ht="30.75" customHeight="1" x14ac:dyDescent="0.3">
      <c r="A4" s="441" t="s">
        <v>115</v>
      </c>
      <c r="B4" s="441"/>
      <c r="C4" s="33">
        <v>360777.5</v>
      </c>
      <c r="D4" s="31">
        <f t="shared" si="0"/>
        <v>3.9366525732080353</v>
      </c>
      <c r="E4" s="284">
        <f t="shared" si="1"/>
        <v>136062.30007325369</v>
      </c>
      <c r="F4" s="284">
        <f t="shared" si="2"/>
        <v>360777.5</v>
      </c>
      <c r="G4" s="284">
        <f t="shared" si="3"/>
        <v>364686.11848923838</v>
      </c>
      <c r="H4" s="10">
        <f t="shared" si="4"/>
        <v>132153.68158401531</v>
      </c>
      <c r="I4" s="10"/>
      <c r="J4" s="10"/>
      <c r="K4" s="65"/>
      <c r="L4" s="10"/>
      <c r="M4" s="10"/>
    </row>
    <row r="5" spans="1:13" ht="26.25" customHeight="1" x14ac:dyDescent="0.3">
      <c r="A5" s="441" t="s">
        <v>116</v>
      </c>
      <c r="B5" s="441"/>
      <c r="C5" s="33">
        <v>934546</v>
      </c>
      <c r="D5" s="31">
        <f t="shared" si="0"/>
        <v>10.197373493860557</v>
      </c>
      <c r="E5" s="284">
        <f t="shared" si="1"/>
        <v>352451.24289696268</v>
      </c>
      <c r="F5" s="284">
        <f t="shared" si="2"/>
        <v>934546</v>
      </c>
      <c r="G5" s="284">
        <f t="shared" si="3"/>
        <v>944670.7549379986</v>
      </c>
      <c r="H5" s="10">
        <f t="shared" si="4"/>
        <v>342326.48795896408</v>
      </c>
      <c r="I5" s="10"/>
      <c r="J5" s="10"/>
      <c r="K5" s="65"/>
      <c r="L5" s="10"/>
      <c r="M5" s="10"/>
    </row>
    <row r="6" spans="1:13" ht="28.5" customHeight="1" x14ac:dyDescent="0.3">
      <c r="A6" s="441" t="s">
        <v>155</v>
      </c>
      <c r="B6" s="441"/>
      <c r="C6" s="33">
        <v>988077.98</v>
      </c>
      <c r="D6" s="31">
        <f t="shared" si="0"/>
        <v>10.781491979120643</v>
      </c>
      <c r="E6" s="284">
        <f t="shared" si="1"/>
        <v>372640.09704190074</v>
      </c>
      <c r="F6" s="284">
        <f t="shared" si="2"/>
        <v>988077.98</v>
      </c>
      <c r="G6" s="284">
        <f t="shared" si="3"/>
        <v>998782.69374028966</v>
      </c>
      <c r="H6" s="10">
        <f t="shared" si="4"/>
        <v>361935.38330161106</v>
      </c>
      <c r="I6" s="10"/>
      <c r="J6" s="10"/>
      <c r="K6" s="65"/>
      <c r="L6" s="10"/>
      <c r="M6" s="10"/>
    </row>
    <row r="7" spans="1:13" ht="26.25" customHeight="1" x14ac:dyDescent="0.3">
      <c r="A7" s="441" t="s">
        <v>154</v>
      </c>
      <c r="B7" s="441"/>
      <c r="C7" s="33">
        <v>694325.48</v>
      </c>
      <c r="D7" s="31">
        <f t="shared" si="0"/>
        <v>7.5761880590832416</v>
      </c>
      <c r="E7" s="284">
        <f t="shared" si="1"/>
        <v>261855.35907384992</v>
      </c>
      <c r="F7" s="284">
        <f t="shared" si="2"/>
        <v>694325.48</v>
      </c>
      <c r="G7" s="284">
        <f t="shared" si="3"/>
        <v>701847.71575105796</v>
      </c>
      <c r="H7" s="10">
        <f t="shared" si="4"/>
        <v>254333.12332279189</v>
      </c>
      <c r="I7" s="10"/>
      <c r="J7" s="10"/>
      <c r="K7" s="65"/>
      <c r="L7" s="10"/>
      <c r="M7" s="10"/>
    </row>
    <row r="8" spans="1:13" ht="33" customHeight="1" x14ac:dyDescent="0.3">
      <c r="A8" s="441" t="s">
        <v>158</v>
      </c>
      <c r="B8" s="441"/>
      <c r="C8" s="33">
        <v>4379909.49</v>
      </c>
      <c r="D8" s="31">
        <f t="shared" si="0"/>
        <v>47.791733032760625</v>
      </c>
      <c r="E8" s="284">
        <f t="shared" si="1"/>
        <v>1651822.9637992159</v>
      </c>
      <c r="F8" s="284">
        <f t="shared" si="2"/>
        <v>4379909.49</v>
      </c>
      <c r="G8" s="284">
        <f t="shared" si="3"/>
        <v>4427360.8837643145</v>
      </c>
      <c r="H8" s="10">
        <f t="shared" si="4"/>
        <v>1604371.5700349016</v>
      </c>
      <c r="I8" s="10"/>
      <c r="J8" s="10"/>
      <c r="K8" s="65"/>
      <c r="L8" s="10"/>
      <c r="M8" s="10"/>
    </row>
    <row r="9" spans="1:13" ht="30.75" customHeight="1" x14ac:dyDescent="0.25">
      <c r="A9" s="440" t="s">
        <v>169</v>
      </c>
      <c r="B9" s="440"/>
      <c r="C9" s="176">
        <f>SUM(C2:C8)</f>
        <v>9164575.5700000003</v>
      </c>
      <c r="D9" s="177">
        <f>SUM(D2:D8)</f>
        <v>100</v>
      </c>
      <c r="E9" s="285">
        <v>3456294.34</v>
      </c>
      <c r="F9" s="285">
        <f>SUM(F2:F8)</f>
        <v>9164575.5700000003</v>
      </c>
      <c r="G9" s="285">
        <v>9263863.4399999995</v>
      </c>
      <c r="H9" s="10">
        <f>SUM(H2:H8)</f>
        <v>3357006.4700000011</v>
      </c>
      <c r="J9" s="10"/>
      <c r="L9" s="10"/>
      <c r="M9" s="10"/>
    </row>
    <row r="12" spans="1:13" ht="45" x14ac:dyDescent="0.25">
      <c r="A12" s="442" t="s">
        <v>342</v>
      </c>
      <c r="B12" s="442"/>
      <c r="C12" t="s">
        <v>165</v>
      </c>
      <c r="D12" t="s">
        <v>166</v>
      </c>
      <c r="E12" s="122" t="s">
        <v>456</v>
      </c>
      <c r="F12" s="122" t="s">
        <v>231</v>
      </c>
      <c r="G12" s="122" t="s">
        <v>455</v>
      </c>
      <c r="H12" s="122" t="s">
        <v>458</v>
      </c>
      <c r="I12" s="122"/>
      <c r="J12" t="s">
        <v>450</v>
      </c>
      <c r="K12" s="162" t="s">
        <v>451</v>
      </c>
      <c r="L12" s="162" t="s">
        <v>452</v>
      </c>
      <c r="M12" s="162" t="s">
        <v>453</v>
      </c>
    </row>
    <row r="13" spans="1:13" ht="28.5" customHeight="1" x14ac:dyDescent="0.3">
      <c r="A13" s="441" t="s">
        <v>164</v>
      </c>
      <c r="B13" s="441"/>
      <c r="C13" s="274">
        <v>802470.62</v>
      </c>
      <c r="D13" s="31">
        <f>C13/$C$20*100</f>
        <v>7.7062049280462048</v>
      </c>
      <c r="E13" s="284">
        <f>D13*$E$20/100</f>
        <v>0</v>
      </c>
      <c r="F13" s="284">
        <f>C13</f>
        <v>802470.62</v>
      </c>
      <c r="G13" s="284">
        <f>D13*G20/100</f>
        <v>795667.70867128146</v>
      </c>
      <c r="H13" s="10">
        <f>E13+F13-G13</f>
        <v>6802.9113287185319</v>
      </c>
      <c r="I13" s="10">
        <f>E13+F13-G13</f>
        <v>6802.9113287185319</v>
      </c>
      <c r="J13" s="10">
        <f>D13*$J$9/100</f>
        <v>0</v>
      </c>
      <c r="K13" s="65">
        <f>D13*$K$9/100</f>
        <v>0</v>
      </c>
      <c r="L13" s="10">
        <f>D13*$L$9/100</f>
        <v>0</v>
      </c>
      <c r="M13" s="10">
        <f>D13*$M$9/100</f>
        <v>0</v>
      </c>
    </row>
    <row r="14" spans="1:13" ht="25.5" customHeight="1" x14ac:dyDescent="0.3">
      <c r="A14" s="441" t="s">
        <v>112</v>
      </c>
      <c r="B14" s="441"/>
      <c r="C14" s="274">
        <v>1099906.47</v>
      </c>
      <c r="D14" s="31">
        <f t="shared" ref="D14:D19" si="5">C14/$C$20*100</f>
        <v>10.562510886073193</v>
      </c>
      <c r="E14" s="284">
        <f t="shared" ref="E14:E19" si="6">D14*$E$20/100</f>
        <v>0</v>
      </c>
      <c r="F14" s="284">
        <f t="shared" ref="F14:F19" si="7">C14</f>
        <v>1099906.47</v>
      </c>
      <c r="G14" s="284">
        <f>D14*G20/100</f>
        <v>1090582.058614953</v>
      </c>
      <c r="H14" s="10">
        <f t="shared" ref="H14:H19" si="8">E14+F14-G14</f>
        <v>9324.4113850470167</v>
      </c>
      <c r="I14" s="10">
        <f t="shared" ref="I14:I19" si="9">E14+F14-G14</f>
        <v>9324.4113850470167</v>
      </c>
      <c r="J14" s="10">
        <f t="shared" ref="J14:J19" si="10">D14*$J$9/100</f>
        <v>0</v>
      </c>
      <c r="K14" s="65">
        <f t="shared" ref="K14:K19" si="11">D14*$K$9/100</f>
        <v>0</v>
      </c>
      <c r="L14" s="10">
        <f t="shared" ref="L14:L19" si="12">D14*$L$9/100</f>
        <v>0</v>
      </c>
      <c r="M14" s="10">
        <f t="shared" ref="M14:M19" si="13">D14*$M$9/100</f>
        <v>0</v>
      </c>
    </row>
    <row r="15" spans="1:13" ht="28.5" customHeight="1" x14ac:dyDescent="0.3">
      <c r="A15" s="441" t="s">
        <v>115</v>
      </c>
      <c r="B15" s="441"/>
      <c r="C15" s="274">
        <v>612858.53</v>
      </c>
      <c r="D15" s="31">
        <f t="shared" si="5"/>
        <v>5.8853412279207848</v>
      </c>
      <c r="E15" s="284">
        <f t="shared" si="6"/>
        <v>0</v>
      </c>
      <c r="F15" s="284">
        <f t="shared" si="7"/>
        <v>612858.53</v>
      </c>
      <c r="G15" s="284">
        <f>D15*G20/100</f>
        <v>607663.04728358763</v>
      </c>
      <c r="H15" s="10">
        <f t="shared" si="8"/>
        <v>5195.4827164123999</v>
      </c>
      <c r="I15" s="10">
        <f t="shared" si="9"/>
        <v>5195.4827164123999</v>
      </c>
      <c r="J15" s="10">
        <f t="shared" si="10"/>
        <v>0</v>
      </c>
      <c r="K15" s="65">
        <f t="shared" si="11"/>
        <v>0</v>
      </c>
      <c r="L15" s="10">
        <f t="shared" si="12"/>
        <v>0</v>
      </c>
      <c r="M15" s="10">
        <f t="shared" si="13"/>
        <v>0</v>
      </c>
    </row>
    <row r="16" spans="1:13" ht="27" customHeight="1" x14ac:dyDescent="0.3">
      <c r="A16" s="441" t="s">
        <v>116</v>
      </c>
      <c r="B16" s="441"/>
      <c r="C16" s="274">
        <v>1039619.63</v>
      </c>
      <c r="D16" s="31">
        <f t="shared" si="5"/>
        <v>9.9835703841712888</v>
      </c>
      <c r="E16" s="284">
        <f t="shared" si="6"/>
        <v>0</v>
      </c>
      <c r="F16" s="284">
        <f t="shared" si="7"/>
        <v>1039619.63</v>
      </c>
      <c r="G16" s="284">
        <f>D16*G20/100</f>
        <v>1030806.2977954078</v>
      </c>
      <c r="H16" s="10">
        <f t="shared" si="8"/>
        <v>8813.3322045921814</v>
      </c>
      <c r="I16" s="10">
        <f t="shared" si="9"/>
        <v>8813.3322045921814</v>
      </c>
      <c r="J16" s="10">
        <f t="shared" si="10"/>
        <v>0</v>
      </c>
      <c r="K16" s="65">
        <f t="shared" si="11"/>
        <v>0</v>
      </c>
      <c r="L16" s="10">
        <f t="shared" si="12"/>
        <v>0</v>
      </c>
      <c r="M16" s="10">
        <f t="shared" si="13"/>
        <v>0</v>
      </c>
    </row>
    <row r="17" spans="1:13" ht="28.5" customHeight="1" x14ac:dyDescent="0.3">
      <c r="A17" s="441" t="s">
        <v>155</v>
      </c>
      <c r="B17" s="441"/>
      <c r="C17" s="274">
        <v>1247654.3700000001</v>
      </c>
      <c r="D17" s="31">
        <f t="shared" si="5"/>
        <v>11.981348618834648</v>
      </c>
      <c r="E17" s="284">
        <f t="shared" si="6"/>
        <v>0</v>
      </c>
      <c r="F17" s="284">
        <f t="shared" si="7"/>
        <v>1247654.3700000001</v>
      </c>
      <c r="G17" s="284">
        <f>D17*G20/100</f>
        <v>1237077.43193341</v>
      </c>
      <c r="H17" s="10">
        <f t="shared" si="8"/>
        <v>10576.938066590112</v>
      </c>
      <c r="I17" s="10">
        <f t="shared" si="9"/>
        <v>10576.938066590112</v>
      </c>
      <c r="J17" s="10">
        <f t="shared" si="10"/>
        <v>0</v>
      </c>
      <c r="K17" s="65">
        <f t="shared" si="11"/>
        <v>0</v>
      </c>
      <c r="L17" s="10">
        <f t="shared" si="12"/>
        <v>0</v>
      </c>
      <c r="M17" s="10">
        <f t="shared" si="13"/>
        <v>0</v>
      </c>
    </row>
    <row r="18" spans="1:13" ht="24" customHeight="1" x14ac:dyDescent="0.3">
      <c r="A18" s="441" t="s">
        <v>154</v>
      </c>
      <c r="B18" s="441"/>
      <c r="C18" s="274">
        <v>1019889.04</v>
      </c>
      <c r="D18" s="31">
        <f t="shared" si="5"/>
        <v>9.794095572132365</v>
      </c>
      <c r="E18" s="284">
        <f t="shared" si="6"/>
        <v>0</v>
      </c>
      <c r="F18" s="284">
        <f t="shared" si="7"/>
        <v>1019889.04</v>
      </c>
      <c r="G18" s="284">
        <f>D18*G20/100</f>
        <v>1011242.9730520888</v>
      </c>
      <c r="H18" s="10">
        <f t="shared" si="8"/>
        <v>8646.0669479112839</v>
      </c>
      <c r="I18" s="10">
        <f t="shared" si="9"/>
        <v>8646.0669479112839</v>
      </c>
      <c r="J18" s="10">
        <f t="shared" si="10"/>
        <v>0</v>
      </c>
      <c r="K18" s="65">
        <f t="shared" si="11"/>
        <v>0</v>
      </c>
      <c r="L18" s="10">
        <f t="shared" si="12"/>
        <v>0</v>
      </c>
      <c r="M18" s="10">
        <f t="shared" si="13"/>
        <v>0</v>
      </c>
    </row>
    <row r="19" spans="1:13" ht="22.5" customHeight="1" x14ac:dyDescent="0.3">
      <c r="A19" s="441" t="s">
        <v>158</v>
      </c>
      <c r="B19" s="441"/>
      <c r="C19" s="274">
        <v>4590906.3</v>
      </c>
      <c r="D19" s="31">
        <f t="shared" si="5"/>
        <v>44.086928382821505</v>
      </c>
      <c r="E19" s="284">
        <f t="shared" si="6"/>
        <v>0</v>
      </c>
      <c r="F19" s="284">
        <f t="shared" si="7"/>
        <v>4590906.3</v>
      </c>
      <c r="G19" s="284">
        <f>D19*G20/100</f>
        <v>4551987.0826492701</v>
      </c>
      <c r="H19" s="10">
        <f t="shared" si="8"/>
        <v>38919.217350729741</v>
      </c>
      <c r="I19" s="10">
        <f t="shared" si="9"/>
        <v>38919.217350729741</v>
      </c>
      <c r="J19" s="10">
        <f t="shared" si="10"/>
        <v>0</v>
      </c>
      <c r="K19" s="65">
        <f t="shared" si="11"/>
        <v>0</v>
      </c>
      <c r="L19" s="10">
        <f t="shared" si="12"/>
        <v>0</v>
      </c>
      <c r="M19" s="10">
        <f t="shared" si="13"/>
        <v>0</v>
      </c>
    </row>
    <row r="20" spans="1:13" ht="18" customHeight="1" x14ac:dyDescent="0.25">
      <c r="A20" s="440" t="s">
        <v>169</v>
      </c>
      <c r="B20" s="440"/>
      <c r="C20" s="176">
        <f>SUM(C13:C19)</f>
        <v>10413304.960000001</v>
      </c>
      <c r="D20" s="177">
        <f>SUM(D13:D19)</f>
        <v>99.999999999999972</v>
      </c>
      <c r="E20" s="285">
        <v>0</v>
      </c>
      <c r="F20" s="285">
        <f>SUM(F13:F19)</f>
        <v>10413304.960000001</v>
      </c>
      <c r="G20" s="285">
        <v>10325026.6</v>
      </c>
      <c r="H20" s="10">
        <f>SUM(H13:H19)</f>
        <v>88278.360000001267</v>
      </c>
      <c r="J20" s="10">
        <f>1033805.33+38376908.22</f>
        <v>39410713.549999997</v>
      </c>
      <c r="K20">
        <f>1600000+19027459.32</f>
        <v>20627459.32</v>
      </c>
      <c r="L20" s="10">
        <f>(500000+14280282.47)*0.515</f>
        <v>7611845.4720500009</v>
      </c>
      <c r="M20" s="10">
        <f>(500000+14280282.47)*0.485</f>
        <v>7168436.9979499998</v>
      </c>
    </row>
  </sheetData>
  <mergeCells count="18">
    <mergeCell ref="A6:B6"/>
    <mergeCell ref="A1:B1"/>
    <mergeCell ref="A2:B2"/>
    <mergeCell ref="A3:B3"/>
    <mergeCell ref="A4:B4"/>
    <mergeCell ref="A5:B5"/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20"/>
  <sheetViews>
    <sheetView workbookViewId="0">
      <selection activeCell="C13" sqref="C13:C19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30" x14ac:dyDescent="0.25">
      <c r="A1" s="442" t="s">
        <v>460</v>
      </c>
      <c r="B1" s="442"/>
      <c r="C1" t="s">
        <v>461</v>
      </c>
      <c r="D1" t="s">
        <v>166</v>
      </c>
      <c r="E1" s="122" t="s">
        <v>462</v>
      </c>
      <c r="F1" s="122" t="s">
        <v>231</v>
      </c>
      <c r="G1" s="122" t="s">
        <v>455</v>
      </c>
      <c r="H1" s="122" t="s">
        <v>463</v>
      </c>
      <c r="I1" s="122"/>
      <c r="K1" s="162"/>
      <c r="L1" s="162"/>
      <c r="M1" s="162"/>
    </row>
    <row r="2" spans="1:13" ht="33" customHeight="1" x14ac:dyDescent="0.3">
      <c r="A2" s="441" t="s">
        <v>164</v>
      </c>
      <c r="B2" s="441"/>
      <c r="C2" s="33">
        <v>3212030.62</v>
      </c>
      <c r="D2" s="286">
        <f>C2/$C$9*100</f>
        <v>7.7798568307716671</v>
      </c>
      <c r="E2" s="284">
        <f>D2*$E$9/100</f>
        <v>1286281.8511299505</v>
      </c>
      <c r="F2" s="284">
        <f>C2</f>
        <v>3212030.62</v>
      </c>
      <c r="G2" s="284">
        <f>D2*$G$9/100</f>
        <v>3265873.2928893543</v>
      </c>
      <c r="H2" s="10">
        <f>E2+F2-G2</f>
        <v>1232439.1782405959</v>
      </c>
      <c r="I2" s="10"/>
      <c r="J2" s="10"/>
      <c r="K2" s="65"/>
      <c r="L2" s="10"/>
      <c r="M2" s="10"/>
    </row>
    <row r="3" spans="1:13" ht="27" customHeight="1" x14ac:dyDescent="0.3">
      <c r="A3" s="441" t="s">
        <v>112</v>
      </c>
      <c r="B3" s="441"/>
      <c r="C3" s="33">
        <v>4072205.01</v>
      </c>
      <c r="D3" s="286">
        <f t="shared" ref="D3:D8" si="0">C3/$C$9*100</f>
        <v>9.8632845422099695</v>
      </c>
      <c r="E3" s="284">
        <f t="shared" ref="E3:E8" si="1">D3*$E$9/100</f>
        <v>1630745.1634578311</v>
      </c>
      <c r="F3" s="284">
        <f t="shared" ref="F3:F8" si="2">C3</f>
        <v>4072205.01</v>
      </c>
      <c r="G3" s="284">
        <f t="shared" ref="G3:G8" si="3">D3*$G$9/100</f>
        <v>4140466.6264760657</v>
      </c>
      <c r="H3" s="10">
        <f t="shared" ref="H3:H8" si="4">E3+F3-G3</f>
        <v>1562483.5469817654</v>
      </c>
      <c r="I3" s="10"/>
      <c r="J3" s="10"/>
      <c r="K3" s="65"/>
      <c r="L3" s="10"/>
      <c r="M3" s="10"/>
    </row>
    <row r="4" spans="1:13" ht="30.75" customHeight="1" x14ac:dyDescent="0.3">
      <c r="A4" s="441" t="s">
        <v>115</v>
      </c>
      <c r="B4" s="441"/>
      <c r="C4" s="33">
        <v>1252154.1200000001</v>
      </c>
      <c r="D4" s="286">
        <f t="shared" si="0"/>
        <v>3.0328415062434515</v>
      </c>
      <c r="E4" s="284">
        <f t="shared" si="1"/>
        <v>501434.54715061048</v>
      </c>
      <c r="F4" s="284">
        <f t="shared" si="2"/>
        <v>1252154.1200000001</v>
      </c>
      <c r="G4" s="284">
        <f t="shared" si="3"/>
        <v>1273143.7470198751</v>
      </c>
      <c r="H4" s="10">
        <f t="shared" si="4"/>
        <v>480444.9201307355</v>
      </c>
      <c r="I4" s="10"/>
      <c r="J4" s="10"/>
      <c r="K4" s="65"/>
      <c r="L4" s="10"/>
      <c r="M4" s="10"/>
    </row>
    <row r="5" spans="1:13" ht="26.25" customHeight="1" x14ac:dyDescent="0.3">
      <c r="A5" s="441" t="s">
        <v>116</v>
      </c>
      <c r="B5" s="441"/>
      <c r="C5" s="33">
        <v>3646449.15</v>
      </c>
      <c r="D5" s="286">
        <f t="shared" si="0"/>
        <v>8.8320616095773818</v>
      </c>
      <c r="E5" s="284">
        <f t="shared" si="1"/>
        <v>1460248.0230133154</v>
      </c>
      <c r="F5" s="284">
        <f t="shared" si="2"/>
        <v>3646449.15</v>
      </c>
      <c r="G5" s="284">
        <f t="shared" si="3"/>
        <v>3707573.9000470936</v>
      </c>
      <c r="H5" s="10">
        <f t="shared" si="4"/>
        <v>1399123.2729662219</v>
      </c>
      <c r="I5" s="10"/>
      <c r="J5" s="10"/>
      <c r="K5" s="65"/>
      <c r="L5" s="10"/>
      <c r="M5" s="10"/>
    </row>
    <row r="6" spans="1:13" ht="28.5" customHeight="1" x14ac:dyDescent="0.3">
      <c r="A6" s="441" t="s">
        <v>155</v>
      </c>
      <c r="B6" s="441"/>
      <c r="C6" s="33">
        <v>4696128.6500000004</v>
      </c>
      <c r="D6" s="286">
        <f t="shared" si="0"/>
        <v>11.374489498448503</v>
      </c>
      <c r="E6" s="284">
        <f t="shared" si="1"/>
        <v>1880600.0837770335</v>
      </c>
      <c r="F6" s="284">
        <f t="shared" si="2"/>
        <v>4696128.6500000004</v>
      </c>
      <c r="G6" s="284">
        <f t="shared" si="3"/>
        <v>4774848.9826063802</v>
      </c>
      <c r="H6" s="10">
        <f t="shared" si="4"/>
        <v>1801879.7511706538</v>
      </c>
      <c r="I6" s="10"/>
      <c r="J6" s="10"/>
      <c r="K6" s="65"/>
      <c r="L6" s="10"/>
      <c r="M6" s="10"/>
    </row>
    <row r="7" spans="1:13" ht="26.25" customHeight="1" x14ac:dyDescent="0.3">
      <c r="A7" s="441" t="s">
        <v>154</v>
      </c>
      <c r="B7" s="441"/>
      <c r="C7" s="33">
        <v>2162686.75</v>
      </c>
      <c r="D7" s="286">
        <f t="shared" si="0"/>
        <v>5.2382418710587748</v>
      </c>
      <c r="E7" s="284">
        <f t="shared" si="1"/>
        <v>866064.19592731539</v>
      </c>
      <c r="F7" s="284">
        <f t="shared" si="2"/>
        <v>2162686.75</v>
      </c>
      <c r="G7" s="284">
        <f t="shared" si="3"/>
        <v>2198939.4664334413</v>
      </c>
      <c r="H7" s="10">
        <f t="shared" si="4"/>
        <v>829811.47949387413</v>
      </c>
      <c r="I7" s="10"/>
      <c r="J7" s="10"/>
      <c r="K7" s="65"/>
      <c r="L7" s="10"/>
      <c r="M7" s="10"/>
    </row>
    <row r="8" spans="1:13" ht="33" customHeight="1" x14ac:dyDescent="0.3">
      <c r="A8" s="441" t="s">
        <v>158</v>
      </c>
      <c r="B8" s="441"/>
      <c r="C8" s="33">
        <v>22244846.079999998</v>
      </c>
      <c r="D8" s="286">
        <f t="shared" si="0"/>
        <v>53.879224141690266</v>
      </c>
      <c r="E8" s="284">
        <f t="shared" si="1"/>
        <v>8908116.1355439462</v>
      </c>
      <c r="F8" s="284">
        <f t="shared" si="2"/>
        <v>22244846.079999998</v>
      </c>
      <c r="G8" s="284">
        <f t="shared" si="3"/>
        <v>22617732.304527797</v>
      </c>
      <c r="H8" s="10">
        <f t="shared" si="4"/>
        <v>8535229.9110161476</v>
      </c>
      <c r="I8" s="10"/>
      <c r="J8" s="10"/>
      <c r="K8" s="65"/>
      <c r="L8" s="10"/>
      <c r="M8" s="10"/>
    </row>
    <row r="9" spans="1:13" ht="30.75" customHeight="1" x14ac:dyDescent="0.25">
      <c r="A9" s="440" t="s">
        <v>169</v>
      </c>
      <c r="B9" s="440"/>
      <c r="C9" s="176">
        <f>SUM(C2:C8)</f>
        <v>41286500.379999995</v>
      </c>
      <c r="D9" s="177">
        <f>SUM(D2:D8)</f>
        <v>100.00000000000001</v>
      </c>
      <c r="E9" s="285">
        <v>16533490</v>
      </c>
      <c r="F9" s="285">
        <f>SUM(F2:F8)</f>
        <v>41286500.379999995</v>
      </c>
      <c r="G9" s="285">
        <v>41978578.32</v>
      </c>
      <c r="H9" s="10">
        <f>SUM(H2:H8)</f>
        <v>15841412.059999995</v>
      </c>
      <c r="J9" s="10"/>
      <c r="L9" s="10"/>
      <c r="M9" s="10"/>
    </row>
    <row r="12" spans="1:13" ht="30" x14ac:dyDescent="0.25">
      <c r="A12" s="442" t="s">
        <v>346</v>
      </c>
      <c r="B12" s="442"/>
      <c r="C12" t="s">
        <v>165</v>
      </c>
      <c r="D12" t="s">
        <v>166</v>
      </c>
      <c r="E12" s="122" t="s">
        <v>462</v>
      </c>
      <c r="F12" s="122" t="s">
        <v>231</v>
      </c>
      <c r="G12" s="122" t="s">
        <v>455</v>
      </c>
      <c r="H12" s="122" t="s">
        <v>459</v>
      </c>
      <c r="I12" s="122"/>
      <c r="K12" s="162"/>
      <c r="L12" s="162"/>
      <c r="M12" s="162"/>
    </row>
    <row r="13" spans="1:13" ht="28.5" customHeight="1" x14ac:dyDescent="0.3">
      <c r="A13" s="441" t="s">
        <v>164</v>
      </c>
      <c r="B13" s="441"/>
      <c r="C13" s="274"/>
      <c r="D13" s="31">
        <f>C13/$C$20*100</f>
        <v>0</v>
      </c>
      <c r="E13" s="284"/>
      <c r="F13" s="284"/>
      <c r="G13" s="284"/>
      <c r="H13" s="10">
        <f>D13*$H$20/100</f>
        <v>0</v>
      </c>
      <c r="I13" s="10"/>
      <c r="J13" s="10"/>
      <c r="K13" s="65"/>
      <c r="L13" s="10"/>
      <c r="M13" s="10"/>
    </row>
    <row r="14" spans="1:13" ht="25.5" customHeight="1" x14ac:dyDescent="0.3">
      <c r="A14" s="441" t="s">
        <v>112</v>
      </c>
      <c r="B14" s="441"/>
      <c r="C14" s="274"/>
      <c r="D14" s="31">
        <f t="shared" ref="D14:D19" si="5">C14/$C$20*100</f>
        <v>0</v>
      </c>
      <c r="E14" s="284"/>
      <c r="F14" s="284"/>
      <c r="G14" s="284"/>
      <c r="H14" s="10">
        <f t="shared" ref="H14:H19" si="6">D14*$H$20/100</f>
        <v>0</v>
      </c>
      <c r="I14" s="10"/>
      <c r="J14" s="10"/>
      <c r="K14" s="65"/>
      <c r="L14" s="10"/>
      <c r="M14" s="10"/>
    </row>
    <row r="15" spans="1:13" ht="28.5" customHeight="1" x14ac:dyDescent="0.3">
      <c r="A15" s="441" t="s">
        <v>115</v>
      </c>
      <c r="B15" s="441"/>
      <c r="C15" s="274">
        <v>859521.11</v>
      </c>
      <c r="D15" s="31">
        <f t="shared" si="5"/>
        <v>54.309363990855573</v>
      </c>
      <c r="E15" s="284">
        <f>D15*$E$20/100</f>
        <v>237676.92630572719</v>
      </c>
      <c r="F15" s="284">
        <f>C15</f>
        <v>859521.11</v>
      </c>
      <c r="G15" s="284">
        <f>E15+F15-H15</f>
        <v>881193.92427479161</v>
      </c>
      <c r="H15" s="10">
        <f>D15*$H$20/100</f>
        <v>216004.11203093556</v>
      </c>
      <c r="I15" s="10"/>
      <c r="J15" s="10"/>
      <c r="K15" s="65"/>
      <c r="L15" s="10"/>
      <c r="M15" s="10"/>
    </row>
    <row r="16" spans="1:13" ht="27" customHeight="1" x14ac:dyDescent="0.3">
      <c r="A16" s="441" t="s">
        <v>116</v>
      </c>
      <c r="B16" s="441"/>
      <c r="C16" s="274"/>
      <c r="D16" s="31">
        <f t="shared" si="5"/>
        <v>0</v>
      </c>
      <c r="E16" s="284"/>
      <c r="F16" s="284"/>
      <c r="G16" s="284"/>
      <c r="H16" s="10">
        <f t="shared" si="6"/>
        <v>0</v>
      </c>
      <c r="I16" s="10"/>
      <c r="J16" s="10"/>
      <c r="K16" s="65"/>
      <c r="L16" s="10"/>
      <c r="M16" s="10"/>
    </row>
    <row r="17" spans="1:13" ht="28.5" customHeight="1" x14ac:dyDescent="0.3">
      <c r="A17" s="441" t="s">
        <v>155</v>
      </c>
      <c r="B17" s="441"/>
      <c r="C17" s="274"/>
      <c r="D17" s="31">
        <f t="shared" si="5"/>
        <v>0</v>
      </c>
      <c r="E17" s="284"/>
      <c r="F17" s="284"/>
      <c r="G17" s="284"/>
      <c r="H17" s="10">
        <f t="shared" si="6"/>
        <v>0</v>
      </c>
      <c r="I17" s="10"/>
      <c r="J17" s="10"/>
      <c r="K17" s="65"/>
      <c r="L17" s="10"/>
      <c r="M17" s="10"/>
    </row>
    <row r="18" spans="1:13" ht="24" customHeight="1" x14ac:dyDescent="0.3">
      <c r="A18" s="441" t="s">
        <v>154</v>
      </c>
      <c r="B18" s="441"/>
      <c r="C18" s="274">
        <v>723117.77</v>
      </c>
      <c r="D18" s="31">
        <f t="shared" si="5"/>
        <v>45.690636009144427</v>
      </c>
      <c r="E18" s="284">
        <f t="shared" ref="E18" si="7">D18*$E$20/100</f>
        <v>199958.33369427282</v>
      </c>
      <c r="F18" s="284">
        <f>C18</f>
        <v>723117.77</v>
      </c>
      <c r="G18" s="284">
        <f>E18+F18-H18</f>
        <v>741351.17572520836</v>
      </c>
      <c r="H18" s="10">
        <f t="shared" si="6"/>
        <v>181724.92796906442</v>
      </c>
      <c r="I18" s="10"/>
      <c r="J18" s="10"/>
      <c r="K18" s="65"/>
      <c r="L18" s="10"/>
      <c r="M18" s="10"/>
    </row>
    <row r="19" spans="1:13" ht="22.5" customHeight="1" x14ac:dyDescent="0.3">
      <c r="A19" s="441" t="s">
        <v>158</v>
      </c>
      <c r="B19" s="441"/>
      <c r="C19" s="274"/>
      <c r="D19" s="31">
        <f t="shared" si="5"/>
        <v>0</v>
      </c>
      <c r="E19" s="284"/>
      <c r="F19" s="284"/>
      <c r="G19" s="284"/>
      <c r="H19" s="10">
        <f t="shared" si="6"/>
        <v>0</v>
      </c>
      <c r="I19" s="10"/>
      <c r="J19" s="10"/>
      <c r="K19" s="65"/>
      <c r="L19" s="10"/>
      <c r="M19" s="10"/>
    </row>
    <row r="20" spans="1:13" ht="18" customHeight="1" x14ac:dyDescent="0.25">
      <c r="A20" s="440" t="s">
        <v>169</v>
      </c>
      <c r="B20" s="440"/>
      <c r="C20" s="176">
        <f>SUM(C13:C19)</f>
        <v>1582638.88</v>
      </c>
      <c r="D20" s="177">
        <f>SUM(D13:D19)</f>
        <v>100</v>
      </c>
      <c r="E20" s="285">
        <v>437635.26</v>
      </c>
      <c r="F20" s="285">
        <f>SUM(F13:F19)</f>
        <v>1582638.88</v>
      </c>
      <c r="G20" s="285">
        <v>1442602.51</v>
      </c>
      <c r="H20" s="10">
        <v>397729.04</v>
      </c>
      <c r="J20" s="10"/>
      <c r="L20" s="10"/>
      <c r="M20" s="10"/>
    </row>
  </sheetData>
  <mergeCells count="18">
    <mergeCell ref="A6:B6"/>
    <mergeCell ref="A1:B1"/>
    <mergeCell ref="A2:B2"/>
    <mergeCell ref="A3:B3"/>
    <mergeCell ref="A4:B4"/>
    <mergeCell ref="A5:B5"/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4"/>
  <sheetViews>
    <sheetView topLeftCell="A77" zoomScaleNormal="100" zoomScaleSheetLayoutView="100" workbookViewId="0">
      <selection activeCell="H1" sqref="H1:T1048576"/>
    </sheetView>
  </sheetViews>
  <sheetFormatPr defaultRowHeight="15" x14ac:dyDescent="0.25"/>
  <cols>
    <col min="1" max="1" width="3.85546875" customWidth="1"/>
    <col min="2" max="2" width="38.5703125" customWidth="1"/>
    <col min="3" max="3" width="15.42578125" customWidth="1"/>
    <col min="4" max="4" width="11.7109375" customWidth="1"/>
    <col min="5" max="5" width="9.42578125" customWidth="1"/>
    <col min="6" max="6" width="10.140625" customWidth="1"/>
    <col min="7" max="7" width="20" customWidth="1"/>
    <col min="8" max="20" width="0" hidden="1" customWidth="1"/>
  </cols>
  <sheetData>
    <row r="1" spans="1:7" ht="38.25" customHeight="1" x14ac:dyDescent="0.25">
      <c r="A1" s="458" t="s">
        <v>477</v>
      </c>
      <c r="B1" s="459"/>
      <c r="C1" s="459"/>
      <c r="D1" s="459"/>
      <c r="E1" s="459"/>
      <c r="F1" s="459"/>
      <c r="G1" s="460"/>
    </row>
    <row r="2" spans="1:7" ht="45" x14ac:dyDescent="0.25">
      <c r="A2" s="397" t="s">
        <v>0</v>
      </c>
      <c r="B2" s="302" t="s">
        <v>1</v>
      </c>
      <c r="C2" s="384" t="s">
        <v>105</v>
      </c>
      <c r="D2" s="384" t="s">
        <v>421</v>
      </c>
      <c r="E2" s="384" t="s">
        <v>421</v>
      </c>
      <c r="F2" s="302" t="s">
        <v>2</v>
      </c>
      <c r="G2" s="398" t="s">
        <v>3</v>
      </c>
    </row>
    <row r="3" spans="1:7" x14ac:dyDescent="0.25">
      <c r="A3" s="332" t="s">
        <v>4</v>
      </c>
      <c r="B3" s="383" t="s">
        <v>6</v>
      </c>
      <c r="C3" s="305" t="s">
        <v>468</v>
      </c>
      <c r="D3" s="383"/>
      <c r="E3" s="383"/>
      <c r="F3" s="303" t="s">
        <v>5</v>
      </c>
      <c r="G3" s="399"/>
    </row>
    <row r="4" spans="1:7" x14ac:dyDescent="0.25">
      <c r="A4" s="336" t="s">
        <v>7</v>
      </c>
      <c r="B4" s="383" t="s">
        <v>21</v>
      </c>
      <c r="C4" s="384" t="s">
        <v>469</v>
      </c>
      <c r="D4" s="383"/>
      <c r="E4" s="383"/>
      <c r="F4" s="303" t="s">
        <v>5</v>
      </c>
      <c r="G4" s="400"/>
    </row>
    <row r="5" spans="1:7" x14ac:dyDescent="0.25">
      <c r="A5" s="336" t="s">
        <v>8</v>
      </c>
      <c r="B5" s="383" t="s">
        <v>22</v>
      </c>
      <c r="C5" s="384" t="s">
        <v>470</v>
      </c>
      <c r="D5" s="383"/>
      <c r="E5" s="383"/>
      <c r="F5" s="303" t="s">
        <v>5</v>
      </c>
      <c r="G5" s="400"/>
    </row>
    <row r="6" spans="1:7" ht="30.75" customHeight="1" x14ac:dyDescent="0.25">
      <c r="A6" s="461" t="s">
        <v>369</v>
      </c>
      <c r="B6" s="462"/>
      <c r="C6" s="462"/>
      <c r="D6" s="462"/>
      <c r="E6" s="462"/>
      <c r="F6" s="462"/>
      <c r="G6" s="463"/>
    </row>
    <row r="7" spans="1:7" s="273" customFormat="1" ht="30.75" customHeight="1" x14ac:dyDescent="0.25">
      <c r="A7" s="401" t="s">
        <v>9</v>
      </c>
      <c r="B7" s="308" t="s">
        <v>370</v>
      </c>
      <c r="C7" s="308"/>
      <c r="D7" s="308"/>
      <c r="E7" s="308"/>
      <c r="F7" s="308" t="s">
        <v>15</v>
      </c>
      <c r="G7" s="402">
        <v>0</v>
      </c>
    </row>
    <row r="8" spans="1:7" ht="30" x14ac:dyDescent="0.25">
      <c r="A8" s="332" t="s">
        <v>10</v>
      </c>
      <c r="B8" s="310" t="s">
        <v>371</v>
      </c>
      <c r="C8" s="310"/>
      <c r="D8" s="310"/>
      <c r="E8" s="310"/>
      <c r="F8" s="303" t="s">
        <v>15</v>
      </c>
      <c r="G8" s="403">
        <v>0</v>
      </c>
    </row>
    <row r="9" spans="1:7" ht="30" x14ac:dyDescent="0.25">
      <c r="A9" s="332" t="s">
        <v>11</v>
      </c>
      <c r="B9" s="310" t="s">
        <v>372</v>
      </c>
      <c r="C9" s="310"/>
      <c r="D9" s="310"/>
      <c r="E9" s="310"/>
      <c r="F9" s="303" t="s">
        <v>15</v>
      </c>
      <c r="G9" s="404">
        <v>1212808.3</v>
      </c>
    </row>
    <row r="10" spans="1:7" ht="53.25" customHeight="1" x14ac:dyDescent="0.25">
      <c r="A10" s="332" t="s">
        <v>12</v>
      </c>
      <c r="B10" s="310" t="s">
        <v>25</v>
      </c>
      <c r="C10" s="310"/>
      <c r="D10" s="310"/>
      <c r="E10" s="310"/>
      <c r="F10" s="303" t="s">
        <v>15</v>
      </c>
      <c r="G10" s="405">
        <f>-G11</f>
        <v>-6141739.5240000002</v>
      </c>
    </row>
    <row r="11" spans="1:7" x14ac:dyDescent="0.25">
      <c r="A11" s="332" t="s">
        <v>13</v>
      </c>
      <c r="B11" s="310" t="s">
        <v>26</v>
      </c>
      <c r="C11" s="310"/>
      <c r="D11" s="385">
        <v>38.83</v>
      </c>
      <c r="E11" s="310">
        <v>39.68</v>
      </c>
      <c r="F11" s="303" t="s">
        <v>15</v>
      </c>
      <c r="G11" s="403">
        <f>D11*L52*K55+E11*L53*K55</f>
        <v>6141739.5240000002</v>
      </c>
    </row>
    <row r="12" spans="1:7" x14ac:dyDescent="0.25">
      <c r="A12" s="332" t="s">
        <v>17</v>
      </c>
      <c r="B12" s="310" t="s">
        <v>27</v>
      </c>
      <c r="C12" s="310"/>
      <c r="D12" s="310"/>
      <c r="E12" s="310"/>
      <c r="F12" s="303" t="s">
        <v>15</v>
      </c>
      <c r="G12" s="400"/>
    </row>
    <row r="13" spans="1:7" x14ac:dyDescent="0.25">
      <c r="A13" s="332" t="s">
        <v>18</v>
      </c>
      <c r="B13" s="310" t="s">
        <v>28</v>
      </c>
      <c r="C13" s="310"/>
      <c r="D13" s="310">
        <v>3.41</v>
      </c>
      <c r="E13" s="310">
        <v>3.41</v>
      </c>
      <c r="F13" s="303" t="s">
        <v>15</v>
      </c>
      <c r="G13" s="403">
        <f>E13*L54*K55</f>
        <v>533449.48800000001</v>
      </c>
    </row>
    <row r="14" spans="1:7" x14ac:dyDescent="0.25">
      <c r="A14" s="332" t="s">
        <v>19</v>
      </c>
      <c r="B14" s="310" t="s">
        <v>29</v>
      </c>
      <c r="C14" s="310"/>
      <c r="D14" s="310"/>
      <c r="E14" s="310"/>
      <c r="F14" s="303" t="s">
        <v>15</v>
      </c>
      <c r="G14" s="406">
        <v>6504490.5300000003</v>
      </c>
    </row>
    <row r="15" spans="1:7" ht="41.25" customHeight="1" x14ac:dyDescent="0.25">
      <c r="A15" s="332" t="s">
        <v>20</v>
      </c>
      <c r="B15" s="313" t="s">
        <v>30</v>
      </c>
      <c r="C15" s="313"/>
      <c r="D15" s="313"/>
      <c r="E15" s="313"/>
      <c r="F15" s="314" t="s">
        <v>15</v>
      </c>
      <c r="G15" s="407">
        <f>G14</f>
        <v>6504490.5300000003</v>
      </c>
    </row>
    <row r="16" spans="1:7" x14ac:dyDescent="0.25">
      <c r="A16" s="332" t="s">
        <v>31</v>
      </c>
      <c r="B16" s="310" t="s">
        <v>32</v>
      </c>
      <c r="C16" s="310"/>
      <c r="D16" s="310"/>
      <c r="E16" s="310"/>
      <c r="F16" s="303" t="s">
        <v>15</v>
      </c>
      <c r="G16" s="403">
        <v>0</v>
      </c>
    </row>
    <row r="17" spans="1:7" x14ac:dyDescent="0.25">
      <c r="A17" s="332" t="s">
        <v>33</v>
      </c>
      <c r="B17" s="310" t="s">
        <v>34</v>
      </c>
      <c r="C17" s="310"/>
      <c r="D17" s="310"/>
      <c r="E17" s="310"/>
      <c r="F17" s="303" t="s">
        <v>15</v>
      </c>
      <c r="G17" s="403">
        <v>0</v>
      </c>
    </row>
    <row r="18" spans="1:7" ht="30" x14ac:dyDescent="0.25">
      <c r="A18" s="332" t="s">
        <v>35</v>
      </c>
      <c r="B18" s="310" t="s">
        <v>36</v>
      </c>
      <c r="C18" s="310"/>
      <c r="D18" s="310"/>
      <c r="E18" s="310"/>
      <c r="F18" s="303" t="s">
        <v>15</v>
      </c>
      <c r="G18" s="403">
        <v>0</v>
      </c>
    </row>
    <row r="19" spans="1:7" x14ac:dyDescent="0.25">
      <c r="A19" s="332" t="s">
        <v>38</v>
      </c>
      <c r="B19" s="310" t="s">
        <v>37</v>
      </c>
      <c r="C19" s="310"/>
      <c r="D19" s="310"/>
      <c r="E19" s="310"/>
      <c r="F19" s="303" t="s">
        <v>15</v>
      </c>
      <c r="G19" s="403">
        <v>0</v>
      </c>
    </row>
    <row r="20" spans="1:7" ht="30" x14ac:dyDescent="0.25">
      <c r="A20" s="332" t="s">
        <v>39</v>
      </c>
      <c r="B20" s="310" t="s">
        <v>40</v>
      </c>
      <c r="C20" s="310"/>
      <c r="D20" s="310"/>
      <c r="E20" s="310"/>
      <c r="F20" s="303" t="s">
        <v>15</v>
      </c>
      <c r="G20" s="408">
        <f>G7+G14</f>
        <v>6504490.5300000003</v>
      </c>
    </row>
    <row r="21" spans="1:7" ht="30" x14ac:dyDescent="0.25">
      <c r="A21" s="332" t="s">
        <v>41</v>
      </c>
      <c r="B21" s="310" t="s">
        <v>381</v>
      </c>
      <c r="C21" s="310"/>
      <c r="D21" s="310"/>
      <c r="E21" s="310"/>
      <c r="F21" s="303" t="s">
        <v>15</v>
      </c>
      <c r="G21" s="403">
        <v>0</v>
      </c>
    </row>
    <row r="22" spans="1:7" ht="30" x14ac:dyDescent="0.25">
      <c r="A22" s="332" t="s">
        <v>44</v>
      </c>
      <c r="B22" s="310" t="s">
        <v>42</v>
      </c>
      <c r="C22" s="310"/>
      <c r="D22" s="310"/>
      <c r="E22" s="310"/>
      <c r="F22" s="303" t="s">
        <v>15</v>
      </c>
      <c r="G22" s="403">
        <v>0</v>
      </c>
    </row>
    <row r="23" spans="1:7" ht="30.75" thickBot="1" x14ac:dyDescent="0.3">
      <c r="A23" s="409" t="s">
        <v>45</v>
      </c>
      <c r="B23" s="316" t="s">
        <v>382</v>
      </c>
      <c r="C23" s="316"/>
      <c r="D23" s="316"/>
      <c r="E23" s="316"/>
      <c r="F23" s="315" t="s">
        <v>15</v>
      </c>
      <c r="G23" s="403">
        <f>G9+G11-G15</f>
        <v>850057.29399999976</v>
      </c>
    </row>
    <row r="24" spans="1:7" ht="44.25" customHeight="1" x14ac:dyDescent="0.25">
      <c r="A24" s="464" t="s">
        <v>46</v>
      </c>
      <c r="B24" s="465"/>
      <c r="C24" s="465"/>
      <c r="D24" s="465"/>
      <c r="E24" s="465"/>
      <c r="F24" s="465"/>
      <c r="G24" s="466"/>
    </row>
    <row r="25" spans="1:7" x14ac:dyDescent="0.25">
      <c r="A25" s="332" t="s">
        <v>47</v>
      </c>
      <c r="B25" s="310" t="s">
        <v>48</v>
      </c>
      <c r="C25" s="310"/>
      <c r="D25" s="310"/>
      <c r="E25" s="310"/>
      <c r="F25" s="303" t="s">
        <v>5</v>
      </c>
      <c r="G25" s="400"/>
    </row>
    <row r="26" spans="1:7" ht="30" x14ac:dyDescent="0.25">
      <c r="A26" s="332" t="s">
        <v>49</v>
      </c>
      <c r="B26" s="310" t="s">
        <v>387</v>
      </c>
      <c r="C26" s="310"/>
      <c r="D26" s="383" t="s">
        <v>285</v>
      </c>
      <c r="E26" s="383" t="s">
        <v>286</v>
      </c>
      <c r="F26" s="303" t="s">
        <v>15</v>
      </c>
      <c r="G26" s="334">
        <f>SUM(G33:G43,G48:G59)</f>
        <v>6141739.5239999993</v>
      </c>
    </row>
    <row r="27" spans="1:7" hidden="1" x14ac:dyDescent="0.25">
      <c r="A27" s="332" t="s">
        <v>51</v>
      </c>
      <c r="B27" s="335" t="s">
        <v>48</v>
      </c>
      <c r="C27" s="310"/>
      <c r="D27" s="310"/>
      <c r="E27" s="310"/>
      <c r="F27" s="303"/>
      <c r="G27" s="400"/>
    </row>
    <row r="28" spans="1:7" ht="30" hidden="1" x14ac:dyDescent="0.25">
      <c r="A28" s="332" t="s">
        <v>54</v>
      </c>
      <c r="B28" s="335" t="s">
        <v>415</v>
      </c>
      <c r="C28" s="310"/>
      <c r="D28" s="310"/>
      <c r="E28" s="310"/>
      <c r="F28" s="303"/>
      <c r="G28" s="400"/>
    </row>
    <row r="29" spans="1:7" hidden="1" x14ac:dyDescent="0.25">
      <c r="A29" s="332" t="s">
        <v>56</v>
      </c>
      <c r="B29" s="335" t="s">
        <v>416</v>
      </c>
      <c r="C29" s="310"/>
      <c r="D29" s="310"/>
      <c r="E29" s="310"/>
      <c r="F29" s="303"/>
      <c r="G29" s="400"/>
    </row>
    <row r="30" spans="1:7" hidden="1" x14ac:dyDescent="0.25">
      <c r="A30" s="332" t="s">
        <v>59</v>
      </c>
      <c r="B30" s="335" t="s">
        <v>417</v>
      </c>
      <c r="C30" s="310"/>
      <c r="D30" s="310"/>
      <c r="E30" s="310"/>
      <c r="F30" s="303"/>
      <c r="G30" s="400"/>
    </row>
    <row r="31" spans="1:7" s="16" customFormat="1" ht="43.5" hidden="1" customHeight="1" x14ac:dyDescent="0.25">
      <c r="A31" s="336"/>
      <c r="B31" s="383" t="s">
        <v>429</v>
      </c>
      <c r="C31" s="383" t="s">
        <v>430</v>
      </c>
      <c r="D31" s="467" t="s">
        <v>420</v>
      </c>
      <c r="E31" s="467"/>
      <c r="F31" s="307"/>
      <c r="G31" s="337" t="s">
        <v>387</v>
      </c>
    </row>
    <row r="32" spans="1:7" s="16" customFormat="1" x14ac:dyDescent="0.25">
      <c r="A32" s="336"/>
      <c r="B32" s="383"/>
      <c r="C32" s="383"/>
      <c r="D32" s="7">
        <v>38.83</v>
      </c>
      <c r="E32" s="16">
        <v>39.68</v>
      </c>
      <c r="F32" s="307"/>
      <c r="G32" s="410">
        <f>D32*L52*K55+E32*L53*K55</f>
        <v>6141739.5240000002</v>
      </c>
    </row>
    <row r="33" spans="1:7" ht="30" customHeight="1" x14ac:dyDescent="0.25">
      <c r="A33" s="332"/>
      <c r="B33" s="338" t="s">
        <v>388</v>
      </c>
      <c r="C33" s="468" t="s">
        <v>419</v>
      </c>
      <c r="D33" s="385">
        <v>5.96</v>
      </c>
      <c r="E33" s="385">
        <v>5.96</v>
      </c>
      <c r="F33" s="303" t="s">
        <v>15</v>
      </c>
      <c r="G33" s="410">
        <f>D33*L54*K55</f>
        <v>932363.32799999998</v>
      </c>
    </row>
    <row r="34" spans="1:7" x14ac:dyDescent="0.25">
      <c r="A34" s="332"/>
      <c r="B34" s="338" t="s">
        <v>389</v>
      </c>
      <c r="C34" s="468"/>
      <c r="D34" s="385"/>
      <c r="E34" s="385"/>
      <c r="F34" s="303" t="s">
        <v>15</v>
      </c>
      <c r="G34" s="410">
        <f t="shared" ref="G34:G56" si="0">D34*L54*K57+E34*L55*K57</f>
        <v>0</v>
      </c>
    </row>
    <row r="35" spans="1:7" x14ac:dyDescent="0.25">
      <c r="A35" s="332"/>
      <c r="B35" s="310" t="s">
        <v>390</v>
      </c>
      <c r="C35" s="468"/>
      <c r="D35" s="385">
        <v>0.86</v>
      </c>
      <c r="E35" s="385">
        <v>0.86</v>
      </c>
      <c r="F35" s="303" t="s">
        <v>15</v>
      </c>
      <c r="G35" s="410">
        <f>D35*L54*K55</f>
        <v>134535.64799999999</v>
      </c>
    </row>
    <row r="36" spans="1:7" x14ac:dyDescent="0.25">
      <c r="A36" s="332"/>
      <c r="B36" s="310" t="s">
        <v>391</v>
      </c>
      <c r="C36" s="468"/>
      <c r="D36" s="385">
        <v>0.14000000000000001</v>
      </c>
      <c r="E36" s="385">
        <v>0.14000000000000001</v>
      </c>
      <c r="F36" s="303" t="s">
        <v>15</v>
      </c>
      <c r="G36" s="410">
        <f>D36*L54*K55</f>
        <v>21901.152000000002</v>
      </c>
    </row>
    <row r="37" spans="1:7" x14ac:dyDescent="0.25">
      <c r="A37" s="340"/>
      <c r="B37" s="341" t="s">
        <v>392</v>
      </c>
      <c r="C37" s="342" t="s">
        <v>418</v>
      </c>
      <c r="D37" s="343">
        <v>1.4</v>
      </c>
      <c r="E37" s="343">
        <v>1.4</v>
      </c>
      <c r="F37" s="344" t="s">
        <v>15</v>
      </c>
      <c r="G37" s="410">
        <f>E37*L54*K55</f>
        <v>219011.52</v>
      </c>
    </row>
    <row r="38" spans="1:7" ht="75" x14ac:dyDescent="0.25">
      <c r="A38" s="332"/>
      <c r="B38" s="345" t="s">
        <v>393</v>
      </c>
      <c r="C38" s="310" t="s">
        <v>424</v>
      </c>
      <c r="D38" s="385">
        <v>0.17</v>
      </c>
      <c r="E38" s="385">
        <v>0.17</v>
      </c>
      <c r="F38" s="303" t="s">
        <v>15</v>
      </c>
      <c r="G38" s="410">
        <f>E38*L54*K55</f>
        <v>26594.256000000001</v>
      </c>
    </row>
    <row r="39" spans="1:7" ht="60" x14ac:dyDescent="0.25">
      <c r="A39" s="332"/>
      <c r="B39" s="345" t="s">
        <v>394</v>
      </c>
      <c r="C39" s="310" t="s">
        <v>425</v>
      </c>
      <c r="D39" s="385"/>
      <c r="E39" s="385">
        <v>1.46</v>
      </c>
      <c r="F39" s="303" t="s">
        <v>15</v>
      </c>
      <c r="G39" s="410">
        <f>E39*L53*K55</f>
        <v>115595.20799999998</v>
      </c>
    </row>
    <row r="40" spans="1:7" ht="45.75" customHeight="1" x14ac:dyDescent="0.25">
      <c r="A40" s="332"/>
      <c r="B40" s="346" t="s">
        <v>395</v>
      </c>
      <c r="C40" s="446" t="s">
        <v>426</v>
      </c>
      <c r="D40" s="385">
        <v>2.23</v>
      </c>
      <c r="E40" s="385">
        <v>2.23</v>
      </c>
      <c r="F40" s="303" t="s">
        <v>15</v>
      </c>
      <c r="G40" s="410">
        <f>E40*L54*K55</f>
        <v>348854.06400000001</v>
      </c>
    </row>
    <row r="41" spans="1:7" ht="30" x14ac:dyDescent="0.25">
      <c r="A41" s="332"/>
      <c r="B41" s="345" t="s">
        <v>396</v>
      </c>
      <c r="C41" s="447"/>
      <c r="D41" s="385">
        <v>1.36</v>
      </c>
      <c r="E41" s="385">
        <v>1.36</v>
      </c>
      <c r="F41" s="303" t="s">
        <v>15</v>
      </c>
      <c r="G41" s="410">
        <f>E41*L54*K55</f>
        <v>212754.04800000001</v>
      </c>
    </row>
    <row r="42" spans="1:7" ht="26.25" x14ac:dyDescent="0.25">
      <c r="A42" s="332"/>
      <c r="B42" s="346" t="s">
        <v>397</v>
      </c>
      <c r="C42" s="447"/>
      <c r="D42" s="385">
        <v>0.64</v>
      </c>
      <c r="E42" s="385">
        <v>0.64</v>
      </c>
      <c r="F42" s="303" t="s">
        <v>15</v>
      </c>
      <c r="G42" s="410">
        <f>E42*L54*K55</f>
        <v>100119.552</v>
      </c>
    </row>
    <row r="43" spans="1:7" ht="33" customHeight="1" x14ac:dyDescent="0.25">
      <c r="A43" s="332"/>
      <c r="B43" s="347" t="s">
        <v>398</v>
      </c>
      <c r="C43" s="448"/>
      <c r="D43" s="385">
        <v>1.58</v>
      </c>
      <c r="E43" s="385">
        <v>0.97</v>
      </c>
      <c r="F43" s="303" t="s">
        <v>15</v>
      </c>
      <c r="G43" s="410">
        <f>D43*L52*K55+E43*L53*K55</f>
        <v>198873.516</v>
      </c>
    </row>
    <row r="44" spans="1:7" x14ac:dyDescent="0.25">
      <c r="A44" s="332"/>
      <c r="B44" s="346" t="s">
        <v>399</v>
      </c>
      <c r="C44" s="310"/>
      <c r="D44" s="385">
        <v>0.19</v>
      </c>
      <c r="E44" s="385">
        <v>0.19</v>
      </c>
      <c r="F44" s="303" t="s">
        <v>15</v>
      </c>
      <c r="G44" s="410">
        <f>E44*L54*K55</f>
        <v>29722.992000000002</v>
      </c>
    </row>
    <row r="45" spans="1:7" x14ac:dyDescent="0.25">
      <c r="A45" s="332"/>
      <c r="B45" s="346" t="s">
        <v>400</v>
      </c>
      <c r="C45" s="310"/>
      <c r="D45" s="385">
        <v>0.61</v>
      </c>
      <c r="E45" s="385"/>
      <c r="F45" s="303" t="s">
        <v>15</v>
      </c>
      <c r="G45" s="410">
        <f>D45*L52*K55</f>
        <v>47129.82</v>
      </c>
    </row>
    <row r="46" spans="1:7" x14ac:dyDescent="0.25">
      <c r="A46" s="332"/>
      <c r="B46" s="346" t="s">
        <v>401</v>
      </c>
      <c r="C46" s="310"/>
      <c r="D46" s="385">
        <v>0.73</v>
      </c>
      <c r="E46" s="385">
        <v>0.73</v>
      </c>
      <c r="F46" s="303" t="s">
        <v>15</v>
      </c>
      <c r="G46" s="410">
        <f>E46*L54*K55</f>
        <v>114198.864</v>
      </c>
    </row>
    <row r="47" spans="1:7" x14ac:dyDescent="0.25">
      <c r="A47" s="332"/>
      <c r="B47" s="346" t="s">
        <v>402</v>
      </c>
      <c r="C47" s="310"/>
      <c r="D47" s="385">
        <v>0.05</v>
      </c>
      <c r="E47" s="385">
        <v>0.05</v>
      </c>
      <c r="F47" s="303" t="s">
        <v>15</v>
      </c>
      <c r="G47" s="410">
        <f>E47*L54*K55</f>
        <v>7821.84</v>
      </c>
    </row>
    <row r="48" spans="1:7" ht="30" customHeight="1" x14ac:dyDescent="0.25">
      <c r="A48" s="332"/>
      <c r="B48" s="346" t="s">
        <v>403</v>
      </c>
      <c r="C48" s="446" t="s">
        <v>427</v>
      </c>
      <c r="D48" s="385">
        <v>0.77</v>
      </c>
      <c r="E48" s="385">
        <v>0.77</v>
      </c>
      <c r="F48" s="303" t="s">
        <v>15</v>
      </c>
      <c r="G48" s="410">
        <f>E48*L54*K55</f>
        <v>120456.33600000001</v>
      </c>
    </row>
    <row r="49" spans="1:12" ht="32.25" customHeight="1" x14ac:dyDescent="0.25">
      <c r="A49" s="332"/>
      <c r="B49" s="345" t="s">
        <v>404</v>
      </c>
      <c r="C49" s="447"/>
      <c r="D49" s="385">
        <v>0.01</v>
      </c>
      <c r="E49" s="385">
        <v>0.01</v>
      </c>
      <c r="F49" s="303" t="s">
        <v>15</v>
      </c>
      <c r="G49" s="410">
        <f>E49*L54*K55</f>
        <v>1564.3679999999999</v>
      </c>
    </row>
    <row r="50" spans="1:12" ht="30" x14ac:dyDescent="0.25">
      <c r="A50" s="332"/>
      <c r="B50" s="345" t="s">
        <v>405</v>
      </c>
      <c r="C50" s="448"/>
      <c r="D50" s="385">
        <v>7.0000000000000007E-2</v>
      </c>
      <c r="E50" s="385">
        <v>7.0000000000000007E-2</v>
      </c>
      <c r="F50" s="303" t="s">
        <v>15</v>
      </c>
      <c r="G50" s="410">
        <f>E50*L54*K55</f>
        <v>10950.576000000001</v>
      </c>
    </row>
    <row r="51" spans="1:12" ht="30" x14ac:dyDescent="0.25">
      <c r="A51" s="332"/>
      <c r="B51" s="346" t="s">
        <v>406</v>
      </c>
      <c r="C51" s="310" t="s">
        <v>428</v>
      </c>
      <c r="D51" s="385">
        <v>6.53</v>
      </c>
      <c r="E51" s="385">
        <v>6.53</v>
      </c>
      <c r="F51" s="303" t="s">
        <v>15</v>
      </c>
      <c r="G51" s="410">
        <f>E51*L54*K55</f>
        <v>1021532.304</v>
      </c>
    </row>
    <row r="52" spans="1:12" ht="30" x14ac:dyDescent="0.25">
      <c r="A52" s="332"/>
      <c r="B52" s="348" t="s">
        <v>407</v>
      </c>
      <c r="C52" s="310" t="s">
        <v>422</v>
      </c>
      <c r="D52" s="385">
        <v>7.48</v>
      </c>
      <c r="E52" s="385">
        <v>7.48</v>
      </c>
      <c r="F52" s="303" t="s">
        <v>15</v>
      </c>
      <c r="G52" s="410">
        <f>E52*L54*K55</f>
        <v>1170147.264</v>
      </c>
      <c r="K52" t="s">
        <v>285</v>
      </c>
      <c r="L52">
        <f>6438.5</f>
        <v>6438.5</v>
      </c>
    </row>
    <row r="53" spans="1:12" ht="26.25" x14ac:dyDescent="0.25">
      <c r="A53" s="332"/>
      <c r="B53" s="346" t="s">
        <v>408</v>
      </c>
      <c r="C53" s="310" t="s">
        <v>422</v>
      </c>
      <c r="D53" s="385">
        <v>2.88</v>
      </c>
      <c r="E53" s="385">
        <v>2.88</v>
      </c>
      <c r="F53" s="303" t="s">
        <v>15</v>
      </c>
      <c r="G53" s="410">
        <f>E53*L54*K55</f>
        <v>450537.98399999994</v>
      </c>
      <c r="K53" t="s">
        <v>286</v>
      </c>
      <c r="L53">
        <v>6597.9</v>
      </c>
    </row>
    <row r="54" spans="1:12" ht="26.25" x14ac:dyDescent="0.25">
      <c r="A54" s="332"/>
      <c r="B54" s="346" t="s">
        <v>409</v>
      </c>
      <c r="C54" s="310" t="s">
        <v>422</v>
      </c>
      <c r="D54" s="385">
        <v>1.43</v>
      </c>
      <c r="E54" s="385">
        <v>1.43</v>
      </c>
      <c r="F54" s="303" t="s">
        <v>15</v>
      </c>
      <c r="G54" s="410">
        <f>E54*L54*K55</f>
        <v>223704.62400000001</v>
      </c>
      <c r="L54">
        <f>SUM(L52:L53)</f>
        <v>13036.4</v>
      </c>
    </row>
    <row r="55" spans="1:12" ht="63.75" x14ac:dyDescent="0.25">
      <c r="A55" s="332"/>
      <c r="B55" s="349" t="s">
        <v>410</v>
      </c>
      <c r="C55" s="310" t="s">
        <v>422</v>
      </c>
      <c r="D55" s="385">
        <v>0.44</v>
      </c>
      <c r="E55" s="385">
        <v>0.44</v>
      </c>
      <c r="F55" s="303" t="s">
        <v>15</v>
      </c>
      <c r="G55" s="410">
        <f>E55*L54*K55</f>
        <v>68832.191999999995</v>
      </c>
      <c r="K55">
        <v>12</v>
      </c>
    </row>
    <row r="56" spans="1:12" ht="26.25" x14ac:dyDescent="0.25">
      <c r="A56" s="332"/>
      <c r="B56" s="346" t="s">
        <v>411</v>
      </c>
      <c r="C56" s="310" t="s">
        <v>422</v>
      </c>
      <c r="D56" s="385"/>
      <c r="E56" s="385"/>
      <c r="F56" s="303" t="s">
        <v>15</v>
      </c>
      <c r="G56" s="410">
        <f t="shared" si="0"/>
        <v>0</v>
      </c>
    </row>
    <row r="57" spans="1:12" ht="51.75" x14ac:dyDescent="0.25">
      <c r="A57" s="332"/>
      <c r="B57" s="350" t="s">
        <v>412</v>
      </c>
      <c r="C57" s="310" t="s">
        <v>428</v>
      </c>
      <c r="D57" s="385">
        <v>0.19</v>
      </c>
      <c r="E57" s="385">
        <v>0.19</v>
      </c>
      <c r="F57" s="303" t="s">
        <v>15</v>
      </c>
      <c r="G57" s="410">
        <f>E57*L54*K55</f>
        <v>29722.992000000002</v>
      </c>
    </row>
    <row r="58" spans="1:12" ht="26.25" x14ac:dyDescent="0.25">
      <c r="A58" s="332"/>
      <c r="B58" s="346" t="s">
        <v>413</v>
      </c>
      <c r="C58" s="310" t="s">
        <v>423</v>
      </c>
      <c r="D58" s="385">
        <v>1.28</v>
      </c>
      <c r="E58" s="385">
        <v>1.28</v>
      </c>
      <c r="F58" s="303" t="s">
        <v>15</v>
      </c>
      <c r="G58" s="410">
        <f>E58*L54*K55</f>
        <v>200239.10399999999</v>
      </c>
    </row>
    <row r="59" spans="1:12" s="278" customFormat="1" ht="27" thickBot="1" x14ac:dyDescent="0.3">
      <c r="A59" s="351"/>
      <c r="B59" s="352" t="s">
        <v>414</v>
      </c>
      <c r="C59" s="353" t="s">
        <v>418</v>
      </c>
      <c r="D59" s="354">
        <v>3.41</v>
      </c>
      <c r="E59" s="354">
        <v>3.41</v>
      </c>
      <c r="F59" s="355" t="s">
        <v>15</v>
      </c>
      <c r="G59" s="410">
        <f>E59*L54*K55</f>
        <v>533449.48800000001</v>
      </c>
      <c r="J59" s="278">
        <f>G59+G58+G57+G55+G54+G53+G52+G51+G50+G49+G48+G47+G46+G45+G44+G43+G42+G41+G40+G39+G38+G37+G36+G35+G33</f>
        <v>6340613.0399999991</v>
      </c>
    </row>
    <row r="60" spans="1:12" ht="30" customHeight="1" x14ac:dyDescent="0.25">
      <c r="A60" s="449" t="s">
        <v>53</v>
      </c>
      <c r="B60" s="450"/>
      <c r="C60" s="450"/>
      <c r="D60" s="450"/>
      <c r="E60" s="450"/>
      <c r="F60" s="450"/>
      <c r="G60" s="451"/>
    </row>
    <row r="61" spans="1:12" x14ac:dyDescent="0.25">
      <c r="A61" s="332" t="s">
        <v>61</v>
      </c>
      <c r="B61" s="310" t="s">
        <v>55</v>
      </c>
      <c r="C61" s="310"/>
      <c r="D61" s="310"/>
      <c r="E61" s="310"/>
      <c r="F61" s="303" t="s">
        <v>58</v>
      </c>
      <c r="G61" s="411">
        <v>0</v>
      </c>
    </row>
    <row r="62" spans="1:12" ht="30" x14ac:dyDescent="0.25">
      <c r="A62" s="332" t="s">
        <v>64</v>
      </c>
      <c r="B62" s="310" t="s">
        <v>57</v>
      </c>
      <c r="C62" s="310"/>
      <c r="D62" s="310"/>
      <c r="E62" s="310"/>
      <c r="F62" s="303" t="s">
        <v>58</v>
      </c>
      <c r="G62" s="411">
        <v>0</v>
      </c>
    </row>
    <row r="63" spans="1:12" ht="30" x14ac:dyDescent="0.25">
      <c r="A63" s="332" t="s">
        <v>65</v>
      </c>
      <c r="B63" s="310" t="s">
        <v>60</v>
      </c>
      <c r="C63" s="310"/>
      <c r="D63" s="310"/>
      <c r="E63" s="310"/>
      <c r="F63" s="303" t="s">
        <v>58</v>
      </c>
      <c r="G63" s="411">
        <v>0</v>
      </c>
    </row>
    <row r="64" spans="1:12" x14ac:dyDescent="0.25">
      <c r="A64" s="332" t="s">
        <v>67</v>
      </c>
      <c r="B64" s="310" t="s">
        <v>62</v>
      </c>
      <c r="C64" s="310"/>
      <c r="D64" s="310"/>
      <c r="E64" s="310"/>
      <c r="F64" s="303" t="s">
        <v>15</v>
      </c>
      <c r="G64" s="411">
        <v>0</v>
      </c>
    </row>
    <row r="65" spans="1:7" x14ac:dyDescent="0.25">
      <c r="A65" s="452" t="s">
        <v>63</v>
      </c>
      <c r="B65" s="453"/>
      <c r="C65" s="453"/>
      <c r="D65" s="453"/>
      <c r="E65" s="453"/>
      <c r="F65" s="453"/>
      <c r="G65" s="454"/>
    </row>
    <row r="66" spans="1:7" s="282" customFormat="1" ht="27.75" customHeight="1" x14ac:dyDescent="0.25">
      <c r="A66" s="412" t="s">
        <v>68</v>
      </c>
      <c r="B66" s="329" t="s">
        <v>437</v>
      </c>
      <c r="C66" s="329"/>
      <c r="D66" s="329"/>
      <c r="E66" s="329"/>
      <c r="F66" s="303" t="s">
        <v>15</v>
      </c>
      <c r="G66" s="413">
        <v>0</v>
      </c>
    </row>
    <row r="67" spans="1:7" ht="45" x14ac:dyDescent="0.25">
      <c r="A67" s="332" t="s">
        <v>70</v>
      </c>
      <c r="B67" s="310" t="s">
        <v>104</v>
      </c>
      <c r="C67" s="310"/>
      <c r="D67" s="310"/>
      <c r="E67" s="310"/>
      <c r="F67" s="303" t="s">
        <v>15</v>
      </c>
      <c r="G67" s="411">
        <v>0</v>
      </c>
    </row>
    <row r="68" spans="1:7" ht="27.75" customHeight="1" x14ac:dyDescent="0.25">
      <c r="A68" s="332" t="s">
        <v>71</v>
      </c>
      <c r="B68" s="310" t="s">
        <v>374</v>
      </c>
      <c r="C68" s="310"/>
      <c r="D68" s="310"/>
      <c r="E68" s="310"/>
      <c r="F68" s="303" t="s">
        <v>15</v>
      </c>
      <c r="G68" s="411">
        <v>1121260.47</v>
      </c>
    </row>
    <row r="69" spans="1:7" ht="31.5" customHeight="1" x14ac:dyDescent="0.25">
      <c r="A69" s="332" t="s">
        <v>73</v>
      </c>
      <c r="B69" s="329" t="s">
        <v>438</v>
      </c>
      <c r="C69" s="310"/>
      <c r="D69" s="310"/>
      <c r="E69" s="310"/>
      <c r="F69" s="303" t="s">
        <v>15</v>
      </c>
      <c r="G69" s="411">
        <f>G21</f>
        <v>0</v>
      </c>
    </row>
    <row r="70" spans="1:7" ht="30.75" customHeight="1" x14ac:dyDescent="0.25">
      <c r="A70" s="332" t="s">
        <v>74</v>
      </c>
      <c r="B70" s="310" t="s">
        <v>69</v>
      </c>
      <c r="C70" s="310"/>
      <c r="D70" s="310"/>
      <c r="E70" s="310"/>
      <c r="F70" s="303" t="s">
        <v>15</v>
      </c>
      <c r="G70" s="411">
        <f>G22</f>
        <v>0</v>
      </c>
    </row>
    <row r="71" spans="1:7" ht="29.25" customHeight="1" x14ac:dyDescent="0.25">
      <c r="A71" s="332" t="s">
        <v>75</v>
      </c>
      <c r="B71" s="310" t="s">
        <v>382</v>
      </c>
      <c r="C71" s="310"/>
      <c r="D71" s="310"/>
      <c r="E71" s="310"/>
      <c r="F71" s="303" t="s">
        <v>15</v>
      </c>
      <c r="G71" s="414">
        <f>G68+G78+G89+G100+G111+G122</f>
        <v>1396511.85</v>
      </c>
    </row>
    <row r="72" spans="1:7" ht="31.5" customHeight="1" x14ac:dyDescent="0.25">
      <c r="A72" s="455" t="s">
        <v>347</v>
      </c>
      <c r="B72" s="456"/>
      <c r="C72" s="456"/>
      <c r="D72" s="456"/>
      <c r="E72" s="456"/>
      <c r="F72" s="456"/>
      <c r="G72" s="457"/>
    </row>
    <row r="73" spans="1:7" ht="28.5" customHeight="1" x14ac:dyDescent="0.25">
      <c r="A73" s="415" t="s">
        <v>78</v>
      </c>
      <c r="B73" s="374" t="s">
        <v>16</v>
      </c>
      <c r="C73" s="374"/>
      <c r="D73" s="374"/>
      <c r="E73" s="374"/>
      <c r="F73" s="373" t="s">
        <v>5</v>
      </c>
      <c r="G73" s="416" t="s">
        <v>315</v>
      </c>
    </row>
    <row r="74" spans="1:7" x14ac:dyDescent="0.25">
      <c r="A74" s="415" t="s">
        <v>80</v>
      </c>
      <c r="B74" s="374" t="s">
        <v>14</v>
      </c>
      <c r="C74" s="374"/>
      <c r="D74" s="374"/>
      <c r="E74" s="374"/>
      <c r="F74" s="373" t="s">
        <v>5</v>
      </c>
      <c r="G74" s="416" t="s">
        <v>316</v>
      </c>
    </row>
    <row r="75" spans="1:7" x14ac:dyDescent="0.25">
      <c r="A75" s="415" t="s">
        <v>82</v>
      </c>
      <c r="B75" s="374" t="s">
        <v>76</v>
      </c>
      <c r="C75" s="374"/>
      <c r="D75" s="374"/>
      <c r="E75" s="374">
        <v>2</v>
      </c>
      <c r="F75" s="373" t="s">
        <v>77</v>
      </c>
      <c r="G75" s="417">
        <f>G76/E75</f>
        <v>565678.47</v>
      </c>
    </row>
    <row r="76" spans="1:7" x14ac:dyDescent="0.25">
      <c r="A76" s="415" t="s">
        <v>84</v>
      </c>
      <c r="B76" s="374" t="s">
        <v>79</v>
      </c>
      <c r="C76" s="374"/>
      <c r="D76" s="374"/>
      <c r="E76" s="374"/>
      <c r="F76" s="373" t="s">
        <v>15</v>
      </c>
      <c r="G76" s="417">
        <f>534183.29+597173.65</f>
        <v>1131356.94</v>
      </c>
    </row>
    <row r="77" spans="1:7" ht="27" customHeight="1" x14ac:dyDescent="0.25">
      <c r="A77" s="415" t="s">
        <v>86</v>
      </c>
      <c r="B77" s="374" t="s">
        <v>81</v>
      </c>
      <c r="C77" s="374"/>
      <c r="D77" s="374"/>
      <c r="E77" s="374"/>
      <c r="F77" s="373" t="s">
        <v>15</v>
      </c>
      <c r="G77" s="418">
        <v>943494.78</v>
      </c>
    </row>
    <row r="78" spans="1:7" ht="21" customHeight="1" x14ac:dyDescent="0.25">
      <c r="A78" s="415" t="s">
        <v>88</v>
      </c>
      <c r="B78" s="374" t="s">
        <v>83</v>
      </c>
      <c r="C78" s="374"/>
      <c r="D78" s="374"/>
      <c r="E78" s="374"/>
      <c r="F78" s="373" t="s">
        <v>15</v>
      </c>
      <c r="G78" s="419">
        <f>G76-G77</f>
        <v>187862.15999999992</v>
      </c>
    </row>
    <row r="79" spans="1:7" ht="45" x14ac:dyDescent="0.25">
      <c r="A79" s="415" t="s">
        <v>90</v>
      </c>
      <c r="B79" s="374" t="s">
        <v>85</v>
      </c>
      <c r="C79" s="374"/>
      <c r="D79" s="374"/>
      <c r="E79" s="374"/>
      <c r="F79" s="373" t="s">
        <v>15</v>
      </c>
      <c r="G79" s="417">
        <v>1125645.44</v>
      </c>
    </row>
    <row r="80" spans="1:7" ht="30" x14ac:dyDescent="0.25">
      <c r="A80" s="415" t="s">
        <v>93</v>
      </c>
      <c r="B80" s="374" t="s">
        <v>87</v>
      </c>
      <c r="C80" s="374"/>
      <c r="D80" s="374"/>
      <c r="E80" s="374"/>
      <c r="F80" s="373" t="s">
        <v>15</v>
      </c>
      <c r="G80" s="417">
        <v>1011907.19</v>
      </c>
    </row>
    <row r="81" spans="1:7" ht="45" x14ac:dyDescent="0.25">
      <c r="A81" s="415" t="s">
        <v>94</v>
      </c>
      <c r="B81" s="374" t="s">
        <v>89</v>
      </c>
      <c r="C81" s="374"/>
      <c r="D81" s="374"/>
      <c r="E81" s="374"/>
      <c r="F81" s="373" t="s">
        <v>15</v>
      </c>
      <c r="G81" s="417">
        <v>113738.25</v>
      </c>
    </row>
    <row r="82" spans="1:7" ht="44.25" customHeight="1" x14ac:dyDescent="0.25">
      <c r="A82" s="415" t="s">
        <v>95</v>
      </c>
      <c r="B82" s="374" t="s">
        <v>444</v>
      </c>
      <c r="C82" s="374"/>
      <c r="D82" s="374"/>
      <c r="E82" s="374"/>
      <c r="F82" s="373" t="s">
        <v>15</v>
      </c>
      <c r="G82" s="417">
        <v>912</v>
      </c>
    </row>
    <row r="83" spans="1:7" ht="19.5" customHeight="1" x14ac:dyDescent="0.25">
      <c r="A83" s="455" t="s">
        <v>72</v>
      </c>
      <c r="B83" s="456"/>
      <c r="C83" s="456"/>
      <c r="D83" s="456"/>
      <c r="E83" s="456"/>
      <c r="F83" s="456"/>
      <c r="G83" s="457"/>
    </row>
    <row r="84" spans="1:7" x14ac:dyDescent="0.25">
      <c r="A84" s="415" t="s">
        <v>78</v>
      </c>
      <c r="B84" s="374" t="s">
        <v>16</v>
      </c>
      <c r="C84" s="374"/>
      <c r="D84" s="374"/>
      <c r="E84" s="374"/>
      <c r="F84" s="373" t="s">
        <v>5</v>
      </c>
      <c r="G84" s="420" t="s">
        <v>332</v>
      </c>
    </row>
    <row r="85" spans="1:7" x14ac:dyDescent="0.25">
      <c r="A85" s="415" t="s">
        <v>80</v>
      </c>
      <c r="B85" s="374" t="s">
        <v>14</v>
      </c>
      <c r="C85" s="374"/>
      <c r="D85" s="374"/>
      <c r="E85" s="374"/>
      <c r="F85" s="373" t="s">
        <v>5</v>
      </c>
      <c r="G85" s="420" t="s">
        <v>331</v>
      </c>
    </row>
    <row r="86" spans="1:7" x14ac:dyDescent="0.25">
      <c r="A86" s="415" t="s">
        <v>82</v>
      </c>
      <c r="B86" s="374" t="s">
        <v>76</v>
      </c>
      <c r="C86" s="374"/>
      <c r="D86" s="374"/>
      <c r="E86" s="374">
        <v>47.95</v>
      </c>
      <c r="F86" s="373" t="s">
        <v>77</v>
      </c>
      <c r="G86" s="421">
        <f>G87/E86</f>
        <v>13018.587069864441</v>
      </c>
    </row>
    <row r="87" spans="1:7" x14ac:dyDescent="0.25">
      <c r="A87" s="415" t="s">
        <v>84</v>
      </c>
      <c r="B87" s="374" t="s">
        <v>79</v>
      </c>
      <c r="C87" s="374"/>
      <c r="D87" s="374"/>
      <c r="E87" s="374"/>
      <c r="F87" s="373" t="s">
        <v>15</v>
      </c>
      <c r="G87" s="421">
        <f>304708.03+319533.22</f>
        <v>624241.25</v>
      </c>
    </row>
    <row r="88" spans="1:7" x14ac:dyDescent="0.25">
      <c r="A88" s="415" t="s">
        <v>86</v>
      </c>
      <c r="B88" s="374" t="s">
        <v>81</v>
      </c>
      <c r="C88" s="374"/>
      <c r="D88" s="374"/>
      <c r="E88" s="374"/>
      <c r="F88" s="373" t="s">
        <v>15</v>
      </c>
      <c r="G88" s="422">
        <v>587341.12</v>
      </c>
    </row>
    <row r="89" spans="1:7" x14ac:dyDescent="0.25">
      <c r="A89" s="415" t="s">
        <v>88</v>
      </c>
      <c r="B89" s="374" t="s">
        <v>83</v>
      </c>
      <c r="C89" s="374"/>
      <c r="D89" s="374"/>
      <c r="E89" s="374"/>
      <c r="F89" s="373" t="s">
        <v>15</v>
      </c>
      <c r="G89" s="423">
        <f>G87-G88</f>
        <v>36900.130000000005</v>
      </c>
    </row>
    <row r="90" spans="1:7" ht="45" x14ac:dyDescent="0.25">
      <c r="A90" s="415" t="s">
        <v>90</v>
      </c>
      <c r="B90" s="374" t="s">
        <v>85</v>
      </c>
      <c r="C90" s="374"/>
      <c r="D90" s="374"/>
      <c r="E90" s="374"/>
      <c r="F90" s="373" t="s">
        <v>15</v>
      </c>
      <c r="G90" s="421">
        <v>815717.31</v>
      </c>
    </row>
    <row r="91" spans="1:7" ht="30" x14ac:dyDescent="0.25">
      <c r="A91" s="415" t="s">
        <v>93</v>
      </c>
      <c r="B91" s="374" t="s">
        <v>87</v>
      </c>
      <c r="C91" s="374"/>
      <c r="D91" s="374"/>
      <c r="E91" s="374"/>
      <c r="F91" s="373" t="s">
        <v>15</v>
      </c>
      <c r="G91" s="421">
        <v>761750.54</v>
      </c>
    </row>
    <row r="92" spans="1:7" ht="45" x14ac:dyDescent="0.25">
      <c r="A92" s="415" t="s">
        <v>94</v>
      </c>
      <c r="B92" s="374" t="s">
        <v>89</v>
      </c>
      <c r="C92" s="374"/>
      <c r="D92" s="374"/>
      <c r="E92" s="374"/>
      <c r="F92" s="373" t="s">
        <v>15</v>
      </c>
      <c r="G92" s="421">
        <v>53966.77</v>
      </c>
    </row>
    <row r="93" spans="1:7" ht="45" x14ac:dyDescent="0.25">
      <c r="A93" s="415" t="s">
        <v>95</v>
      </c>
      <c r="B93" s="374" t="s">
        <v>444</v>
      </c>
      <c r="C93" s="374"/>
      <c r="D93" s="374"/>
      <c r="E93" s="374"/>
      <c r="F93" s="373" t="s">
        <v>15</v>
      </c>
      <c r="G93" s="421">
        <v>0</v>
      </c>
    </row>
    <row r="94" spans="1:7" x14ac:dyDescent="0.25">
      <c r="A94" s="452" t="s">
        <v>72</v>
      </c>
      <c r="B94" s="453"/>
      <c r="C94" s="453"/>
      <c r="D94" s="453"/>
      <c r="E94" s="453"/>
      <c r="F94" s="453"/>
      <c r="G94" s="454"/>
    </row>
    <row r="95" spans="1:7" x14ac:dyDescent="0.25">
      <c r="A95" s="332" t="s">
        <v>78</v>
      </c>
      <c r="B95" s="310" t="s">
        <v>16</v>
      </c>
      <c r="C95" s="310"/>
      <c r="D95" s="310"/>
      <c r="E95" s="310"/>
      <c r="F95" s="303" t="s">
        <v>5</v>
      </c>
      <c r="G95" s="424" t="s">
        <v>333</v>
      </c>
    </row>
    <row r="96" spans="1:7" x14ac:dyDescent="0.25">
      <c r="A96" s="332" t="s">
        <v>80</v>
      </c>
      <c r="B96" s="310" t="s">
        <v>14</v>
      </c>
      <c r="C96" s="310"/>
      <c r="D96" s="310"/>
      <c r="E96" s="310"/>
      <c r="F96" s="303" t="s">
        <v>5</v>
      </c>
      <c r="G96" s="424" t="s">
        <v>331</v>
      </c>
    </row>
    <row r="97" spans="1:7" x14ac:dyDescent="0.25">
      <c r="A97" s="332" t="s">
        <v>82</v>
      </c>
      <c r="B97" s="310" t="s">
        <v>76</v>
      </c>
      <c r="C97" s="310"/>
      <c r="D97" s="310"/>
      <c r="E97" s="310">
        <v>47.95</v>
      </c>
      <c r="F97" s="303" t="s">
        <v>77</v>
      </c>
      <c r="G97" s="403">
        <f>G98/E97</f>
        <v>8895.5353493222101</v>
      </c>
    </row>
    <row r="98" spans="1:7" x14ac:dyDescent="0.25">
      <c r="A98" s="332" t="s">
        <v>84</v>
      </c>
      <c r="B98" s="310" t="s">
        <v>79</v>
      </c>
      <c r="C98" s="310"/>
      <c r="D98" s="310"/>
      <c r="E98" s="310"/>
      <c r="F98" s="303" t="s">
        <v>15</v>
      </c>
      <c r="G98" s="403">
        <f>207622.02+218918.9</f>
        <v>426540.92</v>
      </c>
    </row>
    <row r="99" spans="1:7" x14ac:dyDescent="0.25">
      <c r="A99" s="332" t="s">
        <v>86</v>
      </c>
      <c r="B99" s="310" t="s">
        <v>81</v>
      </c>
      <c r="C99" s="310"/>
      <c r="D99" s="310"/>
      <c r="E99" s="310"/>
      <c r="F99" s="303" t="s">
        <v>15</v>
      </c>
      <c r="G99" s="425">
        <v>424885.07</v>
      </c>
    </row>
    <row r="100" spans="1:7" x14ac:dyDescent="0.25">
      <c r="A100" s="332" t="s">
        <v>88</v>
      </c>
      <c r="B100" s="310" t="s">
        <v>83</v>
      </c>
      <c r="C100" s="310"/>
      <c r="D100" s="310"/>
      <c r="E100" s="310"/>
      <c r="F100" s="303" t="s">
        <v>15</v>
      </c>
      <c r="G100" s="426">
        <f>G98-G99</f>
        <v>1655.8499999999767</v>
      </c>
    </row>
    <row r="101" spans="1:7" ht="36" customHeight="1" x14ac:dyDescent="0.25">
      <c r="A101" s="332" t="s">
        <v>90</v>
      </c>
      <c r="B101" s="310" t="s">
        <v>85</v>
      </c>
      <c r="C101" s="310"/>
      <c r="D101" s="310"/>
      <c r="E101" s="310"/>
      <c r="F101" s="303" t="s">
        <v>15</v>
      </c>
      <c r="G101" s="403">
        <v>426540.92</v>
      </c>
    </row>
    <row r="102" spans="1:7" ht="30" x14ac:dyDescent="0.25">
      <c r="A102" s="332" t="s">
        <v>93</v>
      </c>
      <c r="B102" s="310" t="s">
        <v>87</v>
      </c>
      <c r="C102" s="310"/>
      <c r="D102" s="310"/>
      <c r="E102" s="310"/>
      <c r="F102" s="303" t="s">
        <v>15</v>
      </c>
      <c r="G102" s="403">
        <v>398424.13</v>
      </c>
    </row>
    <row r="103" spans="1:7" ht="45" x14ac:dyDescent="0.25">
      <c r="A103" s="332" t="s">
        <v>94</v>
      </c>
      <c r="B103" s="310" t="s">
        <v>89</v>
      </c>
      <c r="C103" s="310"/>
      <c r="D103" s="310"/>
      <c r="E103" s="310"/>
      <c r="F103" s="303" t="s">
        <v>15</v>
      </c>
      <c r="G103" s="403">
        <v>28116.79</v>
      </c>
    </row>
    <row r="104" spans="1:7" ht="45" x14ac:dyDescent="0.25">
      <c r="A104" s="332" t="s">
        <v>95</v>
      </c>
      <c r="B104" s="310" t="s">
        <v>444</v>
      </c>
      <c r="C104" s="310"/>
      <c r="D104" s="310"/>
      <c r="E104" s="310"/>
      <c r="F104" s="303" t="s">
        <v>15</v>
      </c>
      <c r="G104" s="403">
        <v>0</v>
      </c>
    </row>
    <row r="105" spans="1:7" x14ac:dyDescent="0.25">
      <c r="A105" s="452" t="s">
        <v>72</v>
      </c>
      <c r="B105" s="453"/>
      <c r="C105" s="453"/>
      <c r="D105" s="453"/>
      <c r="E105" s="453"/>
      <c r="F105" s="453"/>
      <c r="G105" s="454"/>
    </row>
    <row r="106" spans="1:7" x14ac:dyDescent="0.25">
      <c r="A106" s="332" t="s">
        <v>78</v>
      </c>
      <c r="B106" s="310" t="s">
        <v>16</v>
      </c>
      <c r="C106" s="310"/>
      <c r="D106" s="310"/>
      <c r="E106" s="310"/>
      <c r="F106" s="303" t="s">
        <v>5</v>
      </c>
      <c r="G106" s="398" t="s">
        <v>323</v>
      </c>
    </row>
    <row r="107" spans="1:7" x14ac:dyDescent="0.25">
      <c r="A107" s="332" t="s">
        <v>80</v>
      </c>
      <c r="B107" s="310" t="s">
        <v>14</v>
      </c>
      <c r="C107" s="310"/>
      <c r="D107" s="310"/>
      <c r="E107" s="310"/>
      <c r="F107" s="303" t="s">
        <v>5</v>
      </c>
      <c r="G107" s="398" t="s">
        <v>341</v>
      </c>
    </row>
    <row r="108" spans="1:7" x14ac:dyDescent="0.25">
      <c r="A108" s="332" t="s">
        <v>82</v>
      </c>
      <c r="B108" s="310" t="s">
        <v>76</v>
      </c>
      <c r="C108" s="310"/>
      <c r="D108" s="310"/>
      <c r="E108" s="310">
        <v>1852.28</v>
      </c>
      <c r="F108" s="303" t="s">
        <v>77</v>
      </c>
      <c r="G108" s="403">
        <f>G109/E108</f>
        <v>1530.1457716975835</v>
      </c>
    </row>
    <row r="109" spans="1:7" x14ac:dyDescent="0.25">
      <c r="A109" s="332" t="s">
        <v>84</v>
      </c>
      <c r="B109" s="310" t="s">
        <v>79</v>
      </c>
      <c r="C109" s="310"/>
      <c r="D109" s="310"/>
      <c r="E109" s="310"/>
      <c r="F109" s="303" t="s">
        <v>15</v>
      </c>
      <c r="G109" s="403">
        <f>1244817.77+1589440.64</f>
        <v>2834258.41</v>
      </c>
    </row>
    <row r="110" spans="1:7" x14ac:dyDescent="0.25">
      <c r="A110" s="332" t="s">
        <v>86</v>
      </c>
      <c r="B110" s="310" t="s">
        <v>81</v>
      </c>
      <c r="C110" s="310"/>
      <c r="D110" s="310"/>
      <c r="E110" s="310"/>
      <c r="F110" s="303" t="s">
        <v>15</v>
      </c>
      <c r="G110" s="425">
        <v>2827985.03</v>
      </c>
    </row>
    <row r="111" spans="1:7" x14ac:dyDescent="0.25">
      <c r="A111" s="332" t="s">
        <v>88</v>
      </c>
      <c r="B111" s="310" t="s">
        <v>83</v>
      </c>
      <c r="C111" s="310"/>
      <c r="D111" s="310"/>
      <c r="E111" s="310"/>
      <c r="F111" s="303" t="s">
        <v>15</v>
      </c>
      <c r="G111" s="426">
        <f>G109-G110</f>
        <v>6273.3800000003539</v>
      </c>
    </row>
    <row r="112" spans="1:7" ht="45" x14ac:dyDescent="0.25">
      <c r="A112" s="332" t="s">
        <v>90</v>
      </c>
      <c r="B112" s="310" t="s">
        <v>85</v>
      </c>
      <c r="C112" s="310"/>
      <c r="D112" s="310"/>
      <c r="E112" s="310"/>
      <c r="F112" s="303" t="s">
        <v>15</v>
      </c>
      <c r="G112" s="403">
        <v>2497726.41</v>
      </c>
    </row>
    <row r="113" spans="1:7" ht="30" x14ac:dyDescent="0.25">
      <c r="A113" s="332" t="s">
        <v>93</v>
      </c>
      <c r="B113" s="310" t="s">
        <v>87</v>
      </c>
      <c r="C113" s="310"/>
      <c r="D113" s="310"/>
      <c r="E113" s="310"/>
      <c r="F113" s="303" t="s">
        <v>15</v>
      </c>
      <c r="G113" s="403">
        <v>2137434.96</v>
      </c>
    </row>
    <row r="114" spans="1:7" ht="45" x14ac:dyDescent="0.25">
      <c r="A114" s="332" t="s">
        <v>94</v>
      </c>
      <c r="B114" s="310" t="s">
        <v>89</v>
      </c>
      <c r="C114" s="310"/>
      <c r="D114" s="310"/>
      <c r="E114" s="310"/>
      <c r="F114" s="303" t="s">
        <v>15</v>
      </c>
      <c r="G114" s="403">
        <v>360291.45</v>
      </c>
    </row>
    <row r="115" spans="1:7" ht="45" x14ac:dyDescent="0.25">
      <c r="A115" s="332" t="s">
        <v>95</v>
      </c>
      <c r="B115" s="310" t="s">
        <v>444</v>
      </c>
      <c r="C115" s="310"/>
      <c r="D115" s="310"/>
      <c r="E115" s="310"/>
      <c r="F115" s="303" t="s">
        <v>15</v>
      </c>
      <c r="G115" s="403">
        <v>123324</v>
      </c>
    </row>
    <row r="116" spans="1:7" x14ac:dyDescent="0.25">
      <c r="A116" s="455" t="s">
        <v>72</v>
      </c>
      <c r="B116" s="456"/>
      <c r="C116" s="456"/>
      <c r="D116" s="456"/>
      <c r="E116" s="456"/>
      <c r="F116" s="456"/>
      <c r="G116" s="457"/>
    </row>
    <row r="117" spans="1:7" x14ac:dyDescent="0.25">
      <c r="A117" s="415" t="s">
        <v>78</v>
      </c>
      <c r="B117" s="374" t="s">
        <v>16</v>
      </c>
      <c r="C117" s="374"/>
      <c r="D117" s="374"/>
      <c r="E117" s="374"/>
      <c r="F117" s="373" t="s">
        <v>5</v>
      </c>
      <c r="G117" s="416" t="s">
        <v>325</v>
      </c>
    </row>
    <row r="118" spans="1:7" x14ac:dyDescent="0.25">
      <c r="A118" s="415" t="s">
        <v>80</v>
      </c>
      <c r="B118" s="374" t="s">
        <v>14</v>
      </c>
      <c r="C118" s="374"/>
      <c r="D118" s="374"/>
      <c r="E118" s="374"/>
      <c r="F118" s="373" t="s">
        <v>5</v>
      </c>
      <c r="G118" s="416" t="s">
        <v>331</v>
      </c>
    </row>
    <row r="119" spans="1:7" x14ac:dyDescent="0.25">
      <c r="A119" s="415" t="s">
        <v>82</v>
      </c>
      <c r="B119" s="374" t="s">
        <v>76</v>
      </c>
      <c r="C119" s="374"/>
      <c r="D119" s="374"/>
      <c r="E119" s="374">
        <v>52.02</v>
      </c>
      <c r="F119" s="373" t="s">
        <v>77</v>
      </c>
      <c r="G119" s="417">
        <f>G120/E119</f>
        <v>21117.343713956168</v>
      </c>
    </row>
    <row r="120" spans="1:7" x14ac:dyDescent="0.25">
      <c r="A120" s="415" t="s">
        <v>84</v>
      </c>
      <c r="B120" s="374" t="s">
        <v>79</v>
      </c>
      <c r="C120" s="374"/>
      <c r="D120" s="374"/>
      <c r="E120" s="374"/>
      <c r="F120" s="373" t="s">
        <v>15</v>
      </c>
      <c r="G120" s="417">
        <f>556934.09+541590.13</f>
        <v>1098524.22</v>
      </c>
    </row>
    <row r="121" spans="1:7" x14ac:dyDescent="0.25">
      <c r="A121" s="415" t="s">
        <v>86</v>
      </c>
      <c r="B121" s="374" t="s">
        <v>81</v>
      </c>
      <c r="C121" s="374"/>
      <c r="D121" s="374"/>
      <c r="E121" s="374"/>
      <c r="F121" s="373" t="s">
        <v>15</v>
      </c>
      <c r="G121" s="418">
        <v>1055964.3600000001</v>
      </c>
    </row>
    <row r="122" spans="1:7" x14ac:dyDescent="0.25">
      <c r="A122" s="415" t="s">
        <v>88</v>
      </c>
      <c r="B122" s="374" t="s">
        <v>83</v>
      </c>
      <c r="C122" s="374"/>
      <c r="D122" s="374"/>
      <c r="E122" s="374"/>
      <c r="F122" s="373" t="s">
        <v>15</v>
      </c>
      <c r="G122" s="417">
        <f>G120-G121</f>
        <v>42559.85999999987</v>
      </c>
    </row>
    <row r="123" spans="1:7" ht="45" x14ac:dyDescent="0.25">
      <c r="A123" s="415" t="s">
        <v>90</v>
      </c>
      <c r="B123" s="374" t="s">
        <v>85</v>
      </c>
      <c r="C123" s="374"/>
      <c r="D123" s="374"/>
      <c r="E123" s="374"/>
      <c r="F123" s="373" t="s">
        <v>15</v>
      </c>
      <c r="G123" s="417">
        <v>1077398.56</v>
      </c>
    </row>
    <row r="124" spans="1:7" ht="30" x14ac:dyDescent="0.25">
      <c r="A124" s="415" t="s">
        <v>93</v>
      </c>
      <c r="B124" s="374" t="s">
        <v>87</v>
      </c>
      <c r="C124" s="374"/>
      <c r="D124" s="374"/>
      <c r="E124" s="374"/>
      <c r="F124" s="373" t="s">
        <v>15</v>
      </c>
      <c r="G124" s="417">
        <v>1006351.33</v>
      </c>
    </row>
    <row r="125" spans="1:7" ht="45" x14ac:dyDescent="0.25">
      <c r="A125" s="415" t="s">
        <v>94</v>
      </c>
      <c r="B125" s="374" t="s">
        <v>89</v>
      </c>
      <c r="C125" s="374"/>
      <c r="D125" s="374"/>
      <c r="E125" s="374"/>
      <c r="F125" s="373" t="s">
        <v>15</v>
      </c>
      <c r="G125" s="421">
        <v>71047.23</v>
      </c>
    </row>
    <row r="126" spans="1:7" ht="45" x14ac:dyDescent="0.25">
      <c r="A126" s="279" t="s">
        <v>95</v>
      </c>
      <c r="B126" s="5" t="s">
        <v>444</v>
      </c>
      <c r="C126" s="5"/>
      <c r="D126" s="5"/>
      <c r="E126" s="5"/>
      <c r="F126" s="4" t="s">
        <v>15</v>
      </c>
      <c r="G126" s="427">
        <v>0</v>
      </c>
    </row>
    <row r="127" spans="1:7" ht="27.75" customHeight="1" x14ac:dyDescent="0.25">
      <c r="A127" s="443" t="s">
        <v>92</v>
      </c>
      <c r="B127" s="444"/>
      <c r="C127" s="444"/>
      <c r="D127" s="444"/>
      <c r="E127" s="444"/>
      <c r="F127" s="444"/>
      <c r="G127" s="445"/>
    </row>
    <row r="128" spans="1:7" x14ac:dyDescent="0.25">
      <c r="A128" s="279" t="s">
        <v>445</v>
      </c>
      <c r="B128" s="5" t="s">
        <v>55</v>
      </c>
      <c r="C128" s="5"/>
      <c r="D128" s="5"/>
      <c r="E128" s="5"/>
      <c r="F128" s="4" t="s">
        <v>58</v>
      </c>
      <c r="G128" s="428">
        <v>0</v>
      </c>
    </row>
    <row r="129" spans="1:7" ht="30" x14ac:dyDescent="0.25">
      <c r="A129" s="279" t="s">
        <v>98</v>
      </c>
      <c r="B129" s="5" t="s">
        <v>57</v>
      </c>
      <c r="C129" s="5"/>
      <c r="D129" s="5"/>
      <c r="E129" s="5"/>
      <c r="F129" s="4" t="s">
        <v>58</v>
      </c>
      <c r="G129" s="428">
        <v>0</v>
      </c>
    </row>
    <row r="130" spans="1:7" ht="30" x14ac:dyDescent="0.25">
      <c r="A130" s="279" t="s">
        <v>100</v>
      </c>
      <c r="B130" s="5" t="s">
        <v>60</v>
      </c>
      <c r="C130" s="5"/>
      <c r="D130" s="5"/>
      <c r="E130" s="5"/>
      <c r="F130" s="4" t="s">
        <v>58</v>
      </c>
      <c r="G130" s="428">
        <v>0</v>
      </c>
    </row>
    <row r="131" spans="1:7" x14ac:dyDescent="0.25">
      <c r="A131" s="279" t="s">
        <v>102</v>
      </c>
      <c r="B131" s="5" t="s">
        <v>62</v>
      </c>
      <c r="C131" s="5"/>
      <c r="D131" s="5"/>
      <c r="E131" s="5"/>
      <c r="F131" s="4" t="s">
        <v>15</v>
      </c>
      <c r="G131" s="428">
        <v>0</v>
      </c>
    </row>
    <row r="132" spans="1:7" ht="26.25" customHeight="1" x14ac:dyDescent="0.25">
      <c r="A132" s="443" t="s">
        <v>97</v>
      </c>
      <c r="B132" s="444"/>
      <c r="C132" s="444"/>
      <c r="D132" s="444"/>
      <c r="E132" s="444"/>
      <c r="F132" s="444"/>
      <c r="G132" s="445"/>
    </row>
    <row r="133" spans="1:7" ht="30" x14ac:dyDescent="0.25">
      <c r="A133" s="279" t="s">
        <v>446</v>
      </c>
      <c r="B133" s="5" t="s">
        <v>99</v>
      </c>
      <c r="C133" s="5"/>
      <c r="D133" s="5"/>
      <c r="E133" s="5"/>
      <c r="F133" s="4" t="s">
        <v>58</v>
      </c>
      <c r="G133" s="429"/>
    </row>
    <row r="134" spans="1:7" x14ac:dyDescent="0.25">
      <c r="A134" s="279" t="s">
        <v>447</v>
      </c>
      <c r="B134" s="5" t="s">
        <v>101</v>
      </c>
      <c r="C134" s="5"/>
      <c r="D134" s="5"/>
      <c r="E134" s="5"/>
      <c r="F134" s="4" t="s">
        <v>58</v>
      </c>
      <c r="G134" s="429"/>
    </row>
    <row r="135" spans="1:7" ht="45.75" thickBot="1" x14ac:dyDescent="0.3">
      <c r="A135" s="430" t="s">
        <v>448</v>
      </c>
      <c r="B135" s="431" t="s">
        <v>103</v>
      </c>
      <c r="C135" s="431"/>
      <c r="D135" s="431"/>
      <c r="E135" s="431"/>
      <c r="F135" s="89" t="s">
        <v>15</v>
      </c>
      <c r="G135" s="432"/>
    </row>
    <row r="136" spans="1:7" x14ac:dyDescent="0.25">
      <c r="B136" s="1"/>
      <c r="C136" s="1"/>
      <c r="D136" s="1"/>
      <c r="E136" s="1"/>
    </row>
    <row r="137" spans="1:7" x14ac:dyDescent="0.25">
      <c r="B137" s="1"/>
      <c r="C137" s="1"/>
      <c r="D137" s="1"/>
      <c r="E137" s="1"/>
    </row>
    <row r="138" spans="1:7" x14ac:dyDescent="0.25">
      <c r="B138" s="1"/>
      <c r="C138" s="1"/>
      <c r="D138" s="1"/>
      <c r="E138" s="1"/>
    </row>
    <row r="139" spans="1:7" x14ac:dyDescent="0.25">
      <c r="B139" s="1"/>
      <c r="C139" s="1"/>
      <c r="D139" s="1"/>
      <c r="E139" s="1"/>
    </row>
    <row r="140" spans="1:7" x14ac:dyDescent="0.25">
      <c r="B140" s="1"/>
      <c r="C140" s="1"/>
      <c r="D140" s="1"/>
      <c r="E140" s="1"/>
    </row>
    <row r="141" spans="1:7" x14ac:dyDescent="0.25">
      <c r="B141" s="1"/>
      <c r="C141" s="1"/>
      <c r="D141" s="1"/>
      <c r="E141" s="1"/>
    </row>
    <row r="142" spans="1:7" x14ac:dyDescent="0.25">
      <c r="B142" s="1"/>
      <c r="C142" s="1"/>
      <c r="D142" s="1"/>
      <c r="E142" s="1"/>
    </row>
    <row r="143" spans="1:7" x14ac:dyDescent="0.25">
      <c r="B143" s="1"/>
      <c r="C143" s="1"/>
      <c r="D143" s="1"/>
      <c r="E143" s="1"/>
    </row>
    <row r="144" spans="1:7" x14ac:dyDescent="0.25">
      <c r="B144" s="1"/>
      <c r="C144" s="1"/>
      <c r="D144" s="1"/>
      <c r="E144" s="1"/>
    </row>
    <row r="145" spans="2:5" x14ac:dyDescent="0.25">
      <c r="B145" s="1"/>
      <c r="C145" s="1"/>
      <c r="D145" s="1"/>
      <c r="E145" s="1"/>
    </row>
    <row r="146" spans="2:5" x14ac:dyDescent="0.25">
      <c r="B146" s="1"/>
      <c r="C146" s="1"/>
      <c r="D146" s="1"/>
      <c r="E146" s="1"/>
    </row>
    <row r="147" spans="2:5" x14ac:dyDescent="0.25">
      <c r="B147" s="1"/>
      <c r="C147" s="1"/>
      <c r="D147" s="1"/>
      <c r="E147" s="1"/>
    </row>
    <row r="148" spans="2:5" x14ac:dyDescent="0.25">
      <c r="B148" s="1"/>
      <c r="C148" s="1"/>
      <c r="D148" s="1"/>
      <c r="E148" s="1"/>
    </row>
    <row r="149" spans="2:5" x14ac:dyDescent="0.25">
      <c r="B149" s="1"/>
      <c r="C149" s="1"/>
      <c r="D149" s="1"/>
      <c r="E149" s="1"/>
    </row>
    <row r="150" spans="2:5" x14ac:dyDescent="0.25">
      <c r="B150" s="1"/>
      <c r="C150" s="1"/>
      <c r="D150" s="1"/>
      <c r="E150" s="1"/>
    </row>
    <row r="151" spans="2:5" x14ac:dyDescent="0.25">
      <c r="B151" s="1"/>
      <c r="C151" s="1"/>
      <c r="D151" s="1"/>
      <c r="E151" s="1"/>
    </row>
    <row r="152" spans="2:5" x14ac:dyDescent="0.25">
      <c r="B152" s="1"/>
      <c r="C152" s="1"/>
      <c r="D152" s="1"/>
      <c r="E152" s="1"/>
    </row>
    <row r="153" spans="2:5" x14ac:dyDescent="0.25">
      <c r="B153" s="1"/>
      <c r="C153" s="1"/>
      <c r="D153" s="1"/>
      <c r="E153" s="1"/>
    </row>
    <row r="154" spans="2:5" x14ac:dyDescent="0.25">
      <c r="B154" s="1"/>
      <c r="C154" s="1"/>
      <c r="D154" s="1"/>
      <c r="E154" s="1"/>
    </row>
    <row r="155" spans="2:5" x14ac:dyDescent="0.25">
      <c r="B155" s="1"/>
      <c r="C155" s="1"/>
      <c r="D155" s="1"/>
      <c r="E155" s="1"/>
    </row>
    <row r="156" spans="2:5" x14ac:dyDescent="0.25">
      <c r="B156" s="1"/>
      <c r="C156" s="1"/>
      <c r="D156" s="1"/>
      <c r="E156" s="1"/>
    </row>
    <row r="157" spans="2:5" x14ac:dyDescent="0.25">
      <c r="B157" s="1"/>
      <c r="C157" s="1"/>
      <c r="D157" s="1"/>
      <c r="E157" s="1"/>
    </row>
    <row r="158" spans="2:5" x14ac:dyDescent="0.25">
      <c r="B158" s="1"/>
      <c r="C158" s="1"/>
      <c r="D158" s="1"/>
      <c r="E158" s="1"/>
    </row>
    <row r="159" spans="2:5" x14ac:dyDescent="0.25">
      <c r="B159" s="1"/>
      <c r="C159" s="1"/>
      <c r="D159" s="1"/>
      <c r="E159" s="1"/>
    </row>
    <row r="160" spans="2:5" x14ac:dyDescent="0.25">
      <c r="B160" s="1"/>
      <c r="C160" s="1"/>
      <c r="D160" s="1"/>
      <c r="E160" s="1"/>
    </row>
    <row r="161" spans="2:5" x14ac:dyDescent="0.25">
      <c r="B161" s="1"/>
      <c r="C161" s="1"/>
      <c r="D161" s="1"/>
      <c r="E161" s="1"/>
    </row>
    <row r="162" spans="2:5" x14ac:dyDescent="0.25">
      <c r="B162" s="1"/>
      <c r="C162" s="1"/>
      <c r="D162" s="1"/>
      <c r="E162" s="1"/>
    </row>
    <row r="163" spans="2:5" x14ac:dyDescent="0.25">
      <c r="B163" s="1"/>
      <c r="C163" s="1"/>
      <c r="D163" s="1"/>
      <c r="E163" s="1"/>
    </row>
    <row r="164" spans="2:5" x14ac:dyDescent="0.25">
      <c r="B164" s="1"/>
      <c r="C164" s="1"/>
      <c r="D164" s="1"/>
      <c r="E164" s="1"/>
    </row>
    <row r="165" spans="2:5" x14ac:dyDescent="0.25">
      <c r="B165" s="1"/>
      <c r="C165" s="1"/>
      <c r="D165" s="1"/>
      <c r="E165" s="1"/>
    </row>
    <row r="166" spans="2:5" x14ac:dyDescent="0.25">
      <c r="B166" s="1"/>
      <c r="C166" s="1"/>
      <c r="D166" s="1"/>
      <c r="E166" s="1"/>
    </row>
    <row r="167" spans="2:5" x14ac:dyDescent="0.25">
      <c r="B167" s="1"/>
      <c r="C167" s="1"/>
      <c r="D167" s="1"/>
      <c r="E167" s="1"/>
    </row>
    <row r="168" spans="2:5" x14ac:dyDescent="0.25">
      <c r="B168" s="1"/>
      <c r="C168" s="1"/>
      <c r="D168" s="1"/>
      <c r="E168" s="1"/>
    </row>
    <row r="169" spans="2:5" x14ac:dyDescent="0.25">
      <c r="B169" s="1"/>
      <c r="C169" s="1"/>
      <c r="D169" s="1"/>
      <c r="E169" s="1"/>
    </row>
    <row r="170" spans="2:5" x14ac:dyDescent="0.25">
      <c r="B170" s="1"/>
      <c r="C170" s="1"/>
      <c r="D170" s="1"/>
      <c r="E170" s="1"/>
    </row>
    <row r="171" spans="2:5" x14ac:dyDescent="0.25">
      <c r="B171" s="1"/>
      <c r="C171" s="1"/>
      <c r="D171" s="1"/>
      <c r="E171" s="1"/>
    </row>
    <row r="172" spans="2:5" x14ac:dyDescent="0.25">
      <c r="B172" s="1"/>
      <c r="C172" s="1"/>
      <c r="D172" s="1"/>
      <c r="E172" s="1"/>
    </row>
    <row r="173" spans="2:5" x14ac:dyDescent="0.25">
      <c r="B173" s="1"/>
      <c r="C173" s="1"/>
      <c r="D173" s="1"/>
      <c r="E173" s="1"/>
    </row>
    <row r="174" spans="2:5" x14ac:dyDescent="0.25">
      <c r="B174" s="1"/>
      <c r="C174" s="1"/>
      <c r="D174" s="1"/>
      <c r="E174" s="1"/>
    </row>
  </sheetData>
  <mergeCells count="16">
    <mergeCell ref="C40:C43"/>
    <mergeCell ref="A1:G1"/>
    <mergeCell ref="A6:G6"/>
    <mergeCell ref="A24:G24"/>
    <mergeCell ref="D31:E31"/>
    <mergeCell ref="C33:C36"/>
    <mergeCell ref="A132:G132"/>
    <mergeCell ref="C48:C50"/>
    <mergeCell ref="A60:G60"/>
    <mergeCell ref="A65:G65"/>
    <mergeCell ref="A72:G72"/>
    <mergeCell ref="A83:G83"/>
    <mergeCell ref="A94:G94"/>
    <mergeCell ref="A105:G105"/>
    <mergeCell ref="A116:G116"/>
    <mergeCell ref="A127:G12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3" manualBreakCount="3">
    <brk id="42" max="6" man="1"/>
    <brk id="82" max="6" man="1"/>
    <brk id="12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59"/>
  <sheetViews>
    <sheetView workbookViewId="0">
      <selection activeCell="E6" sqref="E6"/>
    </sheetView>
  </sheetViews>
  <sheetFormatPr defaultRowHeight="15" x14ac:dyDescent="0.25"/>
  <cols>
    <col min="1" max="1" width="19.42578125" customWidth="1"/>
    <col min="2" max="2" width="16.28515625" customWidth="1"/>
    <col min="3" max="3" width="13.85546875" customWidth="1"/>
    <col min="4" max="4" width="20.42578125" customWidth="1"/>
    <col min="5" max="5" width="13.85546875" customWidth="1"/>
    <col min="6" max="6" width="11.5703125" bestFit="1" customWidth="1"/>
    <col min="8" max="8" width="16.85546875" customWidth="1"/>
  </cols>
  <sheetData>
    <row r="1" spans="1:8" x14ac:dyDescent="0.25">
      <c r="A1" t="s">
        <v>110</v>
      </c>
    </row>
    <row r="2" spans="1:8" ht="28.5" customHeight="1" x14ac:dyDescent="0.25">
      <c r="B2" t="s">
        <v>118</v>
      </c>
      <c r="C2" t="s">
        <v>119</v>
      </c>
      <c r="D2" s="10">
        <v>16549825.109999999</v>
      </c>
      <c r="E2" t="s">
        <v>122</v>
      </c>
    </row>
    <row r="3" spans="1:8" ht="20.25" customHeight="1" x14ac:dyDescent="0.25">
      <c r="A3" t="s">
        <v>111</v>
      </c>
      <c r="B3">
        <v>9334.5</v>
      </c>
      <c r="C3" s="9">
        <f>B3*100/$B$10</f>
        <v>7.5798361498378792</v>
      </c>
      <c r="D3" s="10">
        <f>C3*$D$2/100</f>
        <v>1254449.6264227265</v>
      </c>
    </row>
    <row r="4" spans="1:8" ht="18" customHeight="1" x14ac:dyDescent="0.25">
      <c r="A4" t="s">
        <v>112</v>
      </c>
      <c r="B4">
        <v>13645.58</v>
      </c>
      <c r="C4" s="9">
        <f t="shared" ref="C4:C9" si="0">B4*100/$B$10</f>
        <v>11.080535708340539</v>
      </c>
      <c r="D4" s="10">
        <f t="shared" ref="D4:D9" si="1">C4*$D$2/100</f>
        <v>1833809.280981459</v>
      </c>
    </row>
    <row r="5" spans="1:8" ht="21.75" customHeight="1" x14ac:dyDescent="0.25">
      <c r="A5" t="s">
        <v>113</v>
      </c>
      <c r="B5">
        <f>14849</f>
        <v>14849</v>
      </c>
      <c r="C5" s="9">
        <f t="shared" si="0"/>
        <v>12.057741388284608</v>
      </c>
      <c r="D5" s="10">
        <f t="shared" si="1"/>
        <v>1995535.1119771886</v>
      </c>
      <c r="E5">
        <f>D5*18.9/100</f>
        <v>377156.13616368861</v>
      </c>
      <c r="F5" s="10">
        <f>D5-E5</f>
        <v>1618378.9758135001</v>
      </c>
    </row>
    <row r="6" spans="1:8" ht="17.25" customHeight="1" x14ac:dyDescent="0.25">
      <c r="A6" t="s">
        <v>114</v>
      </c>
      <c r="B6">
        <v>11210.9</v>
      </c>
      <c r="C6" s="9">
        <f>B6*100/$B$10</f>
        <v>9.1035176058939928</v>
      </c>
      <c r="D6" s="10">
        <f>C6*$D$2/100</f>
        <v>1506616.2426335148</v>
      </c>
    </row>
    <row r="7" spans="1:8" ht="22.5" customHeight="1" x14ac:dyDescent="0.25">
      <c r="A7" t="s">
        <v>115</v>
      </c>
      <c r="B7">
        <v>8511.2999999999993</v>
      </c>
      <c r="C7" s="9">
        <f t="shared" si="0"/>
        <v>6.9113781586710727</v>
      </c>
      <c r="D7" s="10">
        <f t="shared" si="1"/>
        <v>1143820.9979508007</v>
      </c>
    </row>
    <row r="8" spans="1:8" ht="20.25" customHeight="1" x14ac:dyDescent="0.25">
      <c r="A8" t="s">
        <v>116</v>
      </c>
      <c r="B8">
        <v>12525.5</v>
      </c>
      <c r="C8" s="9">
        <f t="shared" si="0"/>
        <v>10.171004091787921</v>
      </c>
      <c r="D8" s="10">
        <f t="shared" si="1"/>
        <v>1683283.3891218447</v>
      </c>
    </row>
    <row r="9" spans="1:8" ht="18.75" customHeight="1" x14ac:dyDescent="0.25">
      <c r="A9" t="s">
        <v>117</v>
      </c>
      <c r="B9">
        <f>68373.52-15301.2</f>
        <v>53072.320000000007</v>
      </c>
      <c r="C9" s="9">
        <f t="shared" si="0"/>
        <v>43.095986897183991</v>
      </c>
      <c r="D9" s="10">
        <f t="shared" si="1"/>
        <v>7132310.460912466</v>
      </c>
      <c r="E9">
        <f>D9*9.7/100</f>
        <v>691834.11470850918</v>
      </c>
      <c r="F9" s="10">
        <f>D9-E9</f>
        <v>6440476.3462039568</v>
      </c>
    </row>
    <row r="10" spans="1:8" ht="33" customHeight="1" x14ac:dyDescent="0.25">
      <c r="B10">
        <f>SUM(B3:B9)</f>
        <v>123149.1</v>
      </c>
      <c r="C10" s="9">
        <f>SUM(C3:C9)</f>
        <v>100</v>
      </c>
    </row>
    <row r="13" spans="1:8" x14ac:dyDescent="0.25">
      <c r="A13" t="s">
        <v>121</v>
      </c>
      <c r="H13" s="17">
        <v>142309733.16999999</v>
      </c>
    </row>
    <row r="15" spans="1:8" s="272" customFormat="1" ht="24.75" customHeight="1" x14ac:dyDescent="0.25">
      <c r="A15" s="272" t="s">
        <v>367</v>
      </c>
    </row>
    <row r="16" spans="1:8" x14ac:dyDescent="0.25">
      <c r="B16" t="s">
        <v>118</v>
      </c>
      <c r="C16" t="s">
        <v>119</v>
      </c>
      <c r="D16" s="10">
        <v>22808238.719999999</v>
      </c>
      <c r="E16" t="s">
        <v>122</v>
      </c>
    </row>
    <row r="17" spans="1:6" x14ac:dyDescent="0.25">
      <c r="A17" t="s">
        <v>111</v>
      </c>
      <c r="B17">
        <v>9334.5</v>
      </c>
      <c r="C17" s="9">
        <f>B17/$B$24*100</f>
        <v>6.7422815340433022</v>
      </c>
      <c r="D17" s="10">
        <f>C17*$D$16/100</f>
        <v>1537795.6674590742</v>
      </c>
    </row>
    <row r="18" spans="1:6" x14ac:dyDescent="0.25">
      <c r="A18" t="s">
        <v>112</v>
      </c>
      <c r="B18">
        <v>13645.58</v>
      </c>
      <c r="C18" s="9">
        <f t="shared" ref="C18:C23" si="2">B18/$B$24*100</f>
        <v>9.8561617714189946</v>
      </c>
      <c r="D18" s="10">
        <f t="shared" ref="D18:D23" si="3">C18*$D$16/100</f>
        <v>2248016.9054546249</v>
      </c>
    </row>
    <row r="19" spans="1:6" x14ac:dyDescent="0.25">
      <c r="A19" t="s">
        <v>113</v>
      </c>
      <c r="B19">
        <f>14849</f>
        <v>14849</v>
      </c>
      <c r="C19" s="9">
        <f t="shared" si="2"/>
        <v>10.725388451337405</v>
      </c>
      <c r="D19" s="10">
        <f t="shared" si="3"/>
        <v>2446272.2016283465</v>
      </c>
      <c r="E19">
        <f>D19*18.9/100</f>
        <v>462345.44610775745</v>
      </c>
      <c r="F19" s="10">
        <f>D19-E19</f>
        <v>1983926.755520589</v>
      </c>
    </row>
    <row r="20" spans="1:6" x14ac:dyDescent="0.25">
      <c r="A20" t="s">
        <v>114</v>
      </c>
      <c r="B20">
        <v>11210.9</v>
      </c>
      <c r="C20" s="9">
        <f t="shared" si="2"/>
        <v>8.0975996625428319</v>
      </c>
      <c r="D20" s="10">
        <f t="shared" si="3"/>
        <v>1846919.8616226835</v>
      </c>
    </row>
    <row r="21" spans="1:6" x14ac:dyDescent="0.25">
      <c r="A21" t="s">
        <v>115</v>
      </c>
      <c r="B21">
        <v>8508.2000000000007</v>
      </c>
      <c r="C21" s="9">
        <f t="shared" si="2"/>
        <v>6.1454475063417675</v>
      </c>
      <c r="D21" s="10">
        <f t="shared" si="3"/>
        <v>1401668.3376587173</v>
      </c>
    </row>
    <row r="22" spans="1:6" x14ac:dyDescent="0.25">
      <c r="A22" t="s">
        <v>116</v>
      </c>
      <c r="B22">
        <v>12525.5</v>
      </c>
      <c r="C22" s="9">
        <f t="shared" si="2"/>
        <v>9.0471313251550036</v>
      </c>
      <c r="D22" s="10">
        <f t="shared" si="3"/>
        <v>2063491.3099532528</v>
      </c>
    </row>
    <row r="23" spans="1:6" x14ac:dyDescent="0.25">
      <c r="A23" t="s">
        <v>117</v>
      </c>
      <c r="B23">
        <f>68373.52</f>
        <v>68373.52</v>
      </c>
      <c r="C23" s="9">
        <f t="shared" si="2"/>
        <v>49.385989749160693</v>
      </c>
      <c r="D23" s="10">
        <f t="shared" si="3"/>
        <v>11264074.4362233</v>
      </c>
      <c r="E23">
        <f>D23*9.7/100</f>
        <v>1092615.2203136601</v>
      </c>
      <c r="F23" s="10">
        <f>D23-E23</f>
        <v>10171459.215909639</v>
      </c>
    </row>
    <row r="24" spans="1:6" x14ac:dyDescent="0.25">
      <c r="B24">
        <f>SUM(B17:B23)</f>
        <v>138447.20000000001</v>
      </c>
      <c r="C24" s="9">
        <f>SUM(C17:C23)</f>
        <v>100</v>
      </c>
    </row>
    <row r="28" spans="1:6" x14ac:dyDescent="0.25">
      <c r="A28" t="s">
        <v>368</v>
      </c>
    </row>
    <row r="29" spans="1:6" x14ac:dyDescent="0.25">
      <c r="A29" t="s">
        <v>111</v>
      </c>
      <c r="B29" s="10">
        <f>477412.75+4579.24</f>
        <v>481991.99</v>
      </c>
    </row>
    <row r="30" spans="1:6" x14ac:dyDescent="0.25">
      <c r="A30" t="s">
        <v>112</v>
      </c>
      <c r="B30" s="10">
        <v>488113.49</v>
      </c>
    </row>
    <row r="31" spans="1:6" x14ac:dyDescent="0.25">
      <c r="A31" t="s">
        <v>113</v>
      </c>
      <c r="B31" s="10">
        <v>534178.07999999996</v>
      </c>
    </row>
    <row r="32" spans="1:6" x14ac:dyDescent="0.25">
      <c r="A32" t="s">
        <v>114</v>
      </c>
      <c r="B32" s="10">
        <v>497663.37</v>
      </c>
    </row>
    <row r="33" spans="1:8" x14ac:dyDescent="0.25">
      <c r="A33" t="s">
        <v>115</v>
      </c>
      <c r="B33" s="10">
        <f>20258.68+70156.62</f>
        <v>90415.299999999988</v>
      </c>
    </row>
    <row r="34" spans="1:8" x14ac:dyDescent="0.25">
      <c r="A34" t="s">
        <v>116</v>
      </c>
      <c r="B34" s="10">
        <v>705091.91</v>
      </c>
    </row>
    <row r="35" spans="1:8" x14ac:dyDescent="0.25">
      <c r="A35" t="s">
        <v>117</v>
      </c>
      <c r="B35" s="10">
        <f>2729803.51</f>
        <v>2729803.51</v>
      </c>
    </row>
    <row r="36" spans="1:8" x14ac:dyDescent="0.25">
      <c r="B36" s="10">
        <f>SUM(B29:B35)</f>
        <v>5527257.6500000004</v>
      </c>
    </row>
    <row r="38" spans="1:8" ht="15.75" x14ac:dyDescent="0.25">
      <c r="A38" s="272" t="s">
        <v>384</v>
      </c>
      <c r="B38" s="272"/>
      <c r="C38" s="272"/>
      <c r="D38" s="272"/>
      <c r="E38" s="272"/>
      <c r="F38" s="272"/>
    </row>
    <row r="39" spans="1:8" x14ac:dyDescent="0.25">
      <c r="B39" t="s">
        <v>118</v>
      </c>
      <c r="C39" t="s">
        <v>119</v>
      </c>
      <c r="D39" s="10">
        <v>23591144.149999999</v>
      </c>
      <c r="E39" t="s">
        <v>122</v>
      </c>
    </row>
    <row r="40" spans="1:8" x14ac:dyDescent="0.25">
      <c r="A40" t="s">
        <v>164</v>
      </c>
      <c r="B40">
        <v>9334.5</v>
      </c>
      <c r="C40" s="9">
        <f>B40/$B$24*100</f>
        <v>6.7422815340433022</v>
      </c>
      <c r="D40" s="10">
        <f>C40*$D$39/100</f>
        <v>1590581.3556949866</v>
      </c>
      <c r="H40">
        <f>13057551.96</f>
        <v>13057551.960000001</v>
      </c>
    </row>
    <row r="41" spans="1:8" x14ac:dyDescent="0.25">
      <c r="A41" t="s">
        <v>112</v>
      </c>
      <c r="B41">
        <v>13645.58</v>
      </c>
      <c r="C41" s="9">
        <f t="shared" ref="C41:C46" si="4">B41/$B$24*100</f>
        <v>9.8561617714189946</v>
      </c>
      <c r="D41" s="10">
        <f t="shared" ref="D41:D46" si="5">C41*$D$39/100</f>
        <v>2325181.3311526482</v>
      </c>
    </row>
    <row r="42" spans="1:8" x14ac:dyDescent="0.25">
      <c r="A42" t="s">
        <v>113</v>
      </c>
      <c r="B42">
        <f>14849</f>
        <v>14849</v>
      </c>
      <c r="C42" s="9">
        <f t="shared" si="4"/>
        <v>10.725388451337405</v>
      </c>
      <c r="D42" s="10">
        <f t="shared" si="5"/>
        <v>2530241.8502024598</v>
      </c>
      <c r="E42">
        <f>D42*18.9/100</f>
        <v>478215.70968826488</v>
      </c>
      <c r="F42" s="10">
        <f>D42-E42</f>
        <v>2052026.140514195</v>
      </c>
    </row>
    <row r="43" spans="1:8" x14ac:dyDescent="0.25">
      <c r="A43" t="s">
        <v>114</v>
      </c>
      <c r="B43">
        <v>11210.9</v>
      </c>
      <c r="C43" s="9">
        <f t="shared" si="4"/>
        <v>8.0975996625428319</v>
      </c>
      <c r="D43" s="10">
        <f t="shared" si="5"/>
        <v>1910316.4090803929</v>
      </c>
    </row>
    <row r="44" spans="1:8" x14ac:dyDescent="0.25">
      <c r="A44" t="s">
        <v>115</v>
      </c>
      <c r="B44">
        <v>8508.2000000000007</v>
      </c>
      <c r="C44" s="9">
        <f t="shared" si="4"/>
        <v>6.1454475063417675</v>
      </c>
      <c r="D44" s="10">
        <f t="shared" si="5"/>
        <v>1449781.3798836665</v>
      </c>
    </row>
    <row r="45" spans="1:8" x14ac:dyDescent="0.25">
      <c r="A45" t="s">
        <v>116</v>
      </c>
      <c r="B45">
        <v>12525.5</v>
      </c>
      <c r="C45" s="9">
        <f t="shared" si="4"/>
        <v>9.0471313251550036</v>
      </c>
      <c r="D45" s="10">
        <f t="shared" si="5"/>
        <v>2134321.7923571221</v>
      </c>
    </row>
    <row r="46" spans="1:8" x14ac:dyDescent="0.25">
      <c r="A46" t="s">
        <v>117</v>
      </c>
      <c r="B46">
        <f>68373.52</f>
        <v>68373.52</v>
      </c>
      <c r="C46" s="9">
        <f t="shared" si="4"/>
        <v>49.385989749160693</v>
      </c>
      <c r="D46" s="10">
        <f t="shared" si="5"/>
        <v>11650720.03162872</v>
      </c>
      <c r="E46">
        <f>D46*9.7/100</f>
        <v>1130119.8430679857</v>
      </c>
      <c r="F46" s="10">
        <f>D46-E46</f>
        <v>10520600.188560735</v>
      </c>
    </row>
    <row r="47" spans="1:8" x14ac:dyDescent="0.25">
      <c r="B47">
        <f>SUM(B40:B46)</f>
        <v>138447.20000000001</v>
      </c>
      <c r="C47" s="9">
        <f>SUM(C40:C46)</f>
        <v>100</v>
      </c>
    </row>
    <row r="51" spans="1:3" x14ac:dyDescent="0.25">
      <c r="A51" t="s">
        <v>385</v>
      </c>
    </row>
    <row r="52" spans="1:3" x14ac:dyDescent="0.25">
      <c r="A52" t="s">
        <v>164</v>
      </c>
      <c r="B52" s="10">
        <f>19163.41+8705.87+11756.65+12718+12571.85+67535.25+19498.7+12176.92+9642.78+7236.35+4579.24+15948.66+26659.21+29098.77+4700.49+88153.8+37422.84+28479.36+32819.17+7466.25</f>
        <v>456333.57</v>
      </c>
      <c r="C52" s="469" t="s">
        <v>386</v>
      </c>
    </row>
    <row r="53" spans="1:3" x14ac:dyDescent="0.25">
      <c r="A53" t="s">
        <v>112</v>
      </c>
      <c r="B53" s="10">
        <f>83739.93+7318.77+38477.76+3104.18+31499.91+15630.74+17730.33+29660.15+7298.52+13013.8+16020.41+13652.53+101682.47+73721.78+14811.25+14621.46+7195.7+18419.71+41373.21+259.45+22375.33+110041.65+26945.22</f>
        <v>708594.26</v>
      </c>
      <c r="C53" s="469"/>
    </row>
    <row r="54" spans="1:3" x14ac:dyDescent="0.25">
      <c r="A54" t="s">
        <v>113</v>
      </c>
      <c r="B54" s="10">
        <f>35985.19+13886.38+31306.13+18773.32+16050.28+125310.14+51279.62+68062.88+21342.12+29270.8+61254.12+16689.14+70975.49+26792.59+45739.95</f>
        <v>632718.14999999991</v>
      </c>
      <c r="C54" s="469"/>
    </row>
    <row r="55" spans="1:3" x14ac:dyDescent="0.25">
      <c r="A55" t="s">
        <v>114</v>
      </c>
      <c r="B55" s="10">
        <f>2353.53+42111.44+40459.17+15289.74+60023.18+22449.38+48203.43+8740.07+18655.98+121599.63+62376.39+20974.38+72682.67</f>
        <v>535918.99000000011</v>
      </c>
      <c r="C55" s="469"/>
    </row>
    <row r="56" spans="1:3" x14ac:dyDescent="0.25">
      <c r="A56" t="s">
        <v>115</v>
      </c>
      <c r="B56" s="10">
        <f>192864.58+10216.33+6517.2</f>
        <v>209598.11</v>
      </c>
      <c r="C56" s="469"/>
    </row>
    <row r="57" spans="1:3" x14ac:dyDescent="0.25">
      <c r="A57" t="s">
        <v>116</v>
      </c>
      <c r="B57" s="10">
        <f>37813.38+19519.39+14031.1+25332.44+25626.43+13671.38+115694.2+44243.65+287051.26+31260.96+10647.05+12881.79+52330.07+64525.24+34393.67+33382.2</f>
        <v>822404.21</v>
      </c>
      <c r="C57" s="469"/>
    </row>
    <row r="58" spans="1:3" x14ac:dyDescent="0.25">
      <c r="A58" t="s">
        <v>117</v>
      </c>
      <c r="B58" s="10">
        <f>9149.41+29372.64+35167.86+39149.81+1084.68+63356.19+99302.62+79242.46+1726564.23+54217.68+32901.04+70912.19+231964.78+38973.63+98677.25+125310.14+128084.62+405923.19+488028.22+112304.72+8315.36+387286.89+139561.32+27867.28+1912.03</f>
        <v>4434630.24</v>
      </c>
      <c r="C58" s="469"/>
    </row>
    <row r="59" spans="1:3" x14ac:dyDescent="0.25">
      <c r="B59" s="10">
        <f>SUM(B52:B58)</f>
        <v>7800197.5300000003</v>
      </c>
    </row>
  </sheetData>
  <mergeCells count="1">
    <mergeCell ref="C52:C5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4"/>
  <sheetViews>
    <sheetView view="pageBreakPreview" topLeftCell="A19" zoomScaleNormal="100" zoomScaleSheetLayoutView="100" workbookViewId="0">
      <selection activeCell="G1" sqref="G1:AA1048576"/>
    </sheetView>
  </sheetViews>
  <sheetFormatPr defaultRowHeight="15" x14ac:dyDescent="0.25"/>
  <cols>
    <col min="1" max="1" width="3.85546875" customWidth="1"/>
    <col min="2" max="2" width="46.140625" customWidth="1"/>
    <col min="3" max="3" width="22.42578125" customWidth="1"/>
    <col min="4" max="4" width="24.140625" customWidth="1"/>
    <col min="5" max="5" width="10.140625" customWidth="1"/>
    <col min="6" max="6" width="19.7109375" customWidth="1"/>
    <col min="7" max="7" width="15.7109375" hidden="1" customWidth="1"/>
    <col min="8" max="27" width="0" hidden="1" customWidth="1"/>
  </cols>
  <sheetData>
    <row r="1" spans="1:6" ht="38.25" customHeight="1" x14ac:dyDescent="0.25">
      <c r="A1" s="470" t="s">
        <v>476</v>
      </c>
      <c r="B1" s="470"/>
      <c r="C1" s="470"/>
      <c r="D1" s="470"/>
      <c r="E1" s="470"/>
      <c r="F1" s="470"/>
    </row>
    <row r="2" spans="1:6" ht="45" x14ac:dyDescent="0.25">
      <c r="A2" s="301" t="s">
        <v>0</v>
      </c>
      <c r="B2" s="302" t="s">
        <v>1</v>
      </c>
      <c r="C2" s="302" t="s">
        <v>105</v>
      </c>
      <c r="D2" s="301" t="s">
        <v>431</v>
      </c>
      <c r="E2" s="302" t="s">
        <v>2</v>
      </c>
      <c r="F2" s="302" t="s">
        <v>3</v>
      </c>
    </row>
    <row r="3" spans="1:6" x14ac:dyDescent="0.25">
      <c r="A3" s="303" t="s">
        <v>4</v>
      </c>
      <c r="B3" s="304" t="s">
        <v>6</v>
      </c>
      <c r="C3" s="304" t="s">
        <v>468</v>
      </c>
      <c r="D3" s="304"/>
      <c r="E3" s="303" t="s">
        <v>5</v>
      </c>
      <c r="F3" s="306"/>
    </row>
    <row r="4" spans="1:6" x14ac:dyDescent="0.25">
      <c r="A4" s="307" t="s">
        <v>7</v>
      </c>
      <c r="B4" s="304" t="s">
        <v>21</v>
      </c>
      <c r="C4" s="304" t="s">
        <v>469</v>
      </c>
      <c r="D4" s="304"/>
      <c r="E4" s="303" t="s">
        <v>5</v>
      </c>
      <c r="F4" s="303"/>
    </row>
    <row r="5" spans="1:6" x14ac:dyDescent="0.25">
      <c r="A5" s="307" t="s">
        <v>8</v>
      </c>
      <c r="B5" s="304" t="s">
        <v>22</v>
      </c>
      <c r="C5" s="304" t="s">
        <v>470</v>
      </c>
      <c r="D5" s="304"/>
      <c r="E5" s="303" t="s">
        <v>5</v>
      </c>
      <c r="F5" s="303"/>
    </row>
    <row r="6" spans="1:6" ht="30.75" customHeight="1" x14ac:dyDescent="0.25">
      <c r="A6" s="462" t="s">
        <v>359</v>
      </c>
      <c r="B6" s="462"/>
      <c r="C6" s="462"/>
      <c r="D6" s="462"/>
      <c r="E6" s="462"/>
      <c r="F6" s="462"/>
    </row>
    <row r="7" spans="1:6" s="273" customFormat="1" ht="30.75" customHeight="1" x14ac:dyDescent="0.25">
      <c r="A7" s="308" t="s">
        <v>373</v>
      </c>
      <c r="B7" s="308" t="s">
        <v>370</v>
      </c>
      <c r="C7" s="308"/>
      <c r="D7" s="308"/>
      <c r="E7" s="308"/>
      <c r="F7" s="309">
        <v>0</v>
      </c>
    </row>
    <row r="8" spans="1:6" ht="30" x14ac:dyDescent="0.25">
      <c r="A8" s="303" t="s">
        <v>10</v>
      </c>
      <c r="B8" s="310" t="s">
        <v>371</v>
      </c>
      <c r="C8" s="310"/>
      <c r="D8" s="310"/>
      <c r="E8" s="303" t="s">
        <v>15</v>
      </c>
      <c r="F8" s="311">
        <v>0</v>
      </c>
    </row>
    <row r="9" spans="1:6" ht="30" x14ac:dyDescent="0.25">
      <c r="A9" s="303" t="s">
        <v>11</v>
      </c>
      <c r="B9" s="310" t="s">
        <v>374</v>
      </c>
      <c r="C9" s="310"/>
      <c r="D9" s="310"/>
      <c r="E9" s="303" t="s">
        <v>15</v>
      </c>
      <c r="F9" s="311">
        <v>2066396.64</v>
      </c>
    </row>
    <row r="10" spans="1:6" ht="33.75" customHeight="1" x14ac:dyDescent="0.25">
      <c r="A10" s="303" t="s">
        <v>12</v>
      </c>
      <c r="B10" s="310" t="s">
        <v>25</v>
      </c>
      <c r="C10" s="310"/>
      <c r="D10" s="310">
        <v>33.380000000000003</v>
      </c>
      <c r="E10" s="303" t="s">
        <v>15</v>
      </c>
      <c r="F10" s="312">
        <f>D10*H26*H32</f>
        <v>6944600.8487999998</v>
      </c>
    </row>
    <row r="11" spans="1:6" x14ac:dyDescent="0.25">
      <c r="A11" s="303" t="s">
        <v>13</v>
      </c>
      <c r="B11" s="310" t="s">
        <v>26</v>
      </c>
      <c r="C11" s="310"/>
      <c r="D11" s="318"/>
      <c r="E11" s="303" t="s">
        <v>15</v>
      </c>
      <c r="F11" s="311"/>
    </row>
    <row r="12" spans="1:6" x14ac:dyDescent="0.25">
      <c r="A12" s="303" t="s">
        <v>17</v>
      </c>
      <c r="B12" s="310" t="s">
        <v>27</v>
      </c>
      <c r="C12" s="310"/>
      <c r="D12" s="318"/>
      <c r="E12" s="303" t="s">
        <v>15</v>
      </c>
      <c r="F12" s="303"/>
    </row>
    <row r="13" spans="1:6" x14ac:dyDescent="0.25">
      <c r="A13" s="303" t="s">
        <v>18</v>
      </c>
      <c r="B13" s="310" t="s">
        <v>28</v>
      </c>
      <c r="C13" s="310"/>
      <c r="D13" s="318">
        <v>3.41</v>
      </c>
      <c r="E13" s="303" t="s">
        <v>15</v>
      </c>
      <c r="F13" s="311">
        <f>D13*H26*H32</f>
        <v>709439.45160000003</v>
      </c>
    </row>
    <row r="14" spans="1:6" x14ac:dyDescent="0.25">
      <c r="A14" s="303" t="s">
        <v>19</v>
      </c>
      <c r="B14" s="310" t="s">
        <v>29</v>
      </c>
      <c r="C14" s="310"/>
      <c r="D14" s="310"/>
      <c r="E14" s="303" t="s">
        <v>15</v>
      </c>
      <c r="F14" s="319">
        <v>7516368.4299999997</v>
      </c>
    </row>
    <row r="15" spans="1:6" x14ac:dyDescent="0.25">
      <c r="A15" s="303" t="s">
        <v>20</v>
      </c>
      <c r="B15" s="310" t="s">
        <v>30</v>
      </c>
      <c r="C15" s="310"/>
      <c r="D15" s="310"/>
      <c r="E15" s="303" t="s">
        <v>15</v>
      </c>
      <c r="F15" s="311"/>
    </row>
    <row r="16" spans="1:6" x14ac:dyDescent="0.25">
      <c r="A16" s="303" t="s">
        <v>31</v>
      </c>
      <c r="B16" s="310" t="s">
        <v>32</v>
      </c>
      <c r="C16" s="310"/>
      <c r="D16" s="310"/>
      <c r="E16" s="303" t="s">
        <v>15</v>
      </c>
      <c r="F16" s="320">
        <v>0</v>
      </c>
    </row>
    <row r="17" spans="1:8" x14ac:dyDescent="0.25">
      <c r="A17" s="303" t="s">
        <v>33</v>
      </c>
      <c r="B17" s="310" t="s">
        <v>34</v>
      </c>
      <c r="C17" s="310"/>
      <c r="D17" s="310"/>
      <c r="E17" s="303" t="s">
        <v>15</v>
      </c>
      <c r="F17" s="320">
        <v>0</v>
      </c>
    </row>
    <row r="18" spans="1:8" ht="30" x14ac:dyDescent="0.25">
      <c r="A18" s="303" t="s">
        <v>35</v>
      </c>
      <c r="B18" s="310" t="s">
        <v>36</v>
      </c>
      <c r="C18" s="310"/>
      <c r="D18" s="310"/>
      <c r="E18" s="303" t="s">
        <v>15</v>
      </c>
      <c r="F18" s="320">
        <v>0</v>
      </c>
      <c r="G18" s="290"/>
    </row>
    <row r="19" spans="1:8" x14ac:dyDescent="0.25">
      <c r="A19" s="303" t="s">
        <v>38</v>
      </c>
      <c r="B19" s="310" t="s">
        <v>37</v>
      </c>
      <c r="C19" s="310"/>
      <c r="D19" s="310"/>
      <c r="E19" s="303" t="s">
        <v>15</v>
      </c>
      <c r="F19" s="320">
        <v>0</v>
      </c>
    </row>
    <row r="20" spans="1:8" x14ac:dyDescent="0.25">
      <c r="A20" s="303" t="s">
        <v>39</v>
      </c>
      <c r="B20" s="310" t="s">
        <v>40</v>
      </c>
      <c r="C20" s="310"/>
      <c r="D20" s="310"/>
      <c r="E20" s="303" t="s">
        <v>15</v>
      </c>
      <c r="F20" s="311">
        <f>F15</f>
        <v>0</v>
      </c>
    </row>
    <row r="21" spans="1:8" ht="30" x14ac:dyDescent="0.25">
      <c r="A21" s="303" t="s">
        <v>41</v>
      </c>
      <c r="B21" s="310" t="s">
        <v>381</v>
      </c>
      <c r="C21" s="310"/>
      <c r="D21" s="310"/>
      <c r="E21" s="303" t="s">
        <v>15</v>
      </c>
      <c r="F21" s="320">
        <v>0</v>
      </c>
    </row>
    <row r="22" spans="1:8" ht="30" x14ac:dyDescent="0.25">
      <c r="A22" s="303" t="s">
        <v>44</v>
      </c>
      <c r="B22" s="310" t="s">
        <v>42</v>
      </c>
      <c r="C22" s="310"/>
      <c r="D22" s="310"/>
      <c r="E22" s="303" t="s">
        <v>15</v>
      </c>
      <c r="F22" s="320">
        <v>0</v>
      </c>
    </row>
    <row r="23" spans="1:8" ht="30.75" thickBot="1" x14ac:dyDescent="0.3">
      <c r="A23" s="315" t="s">
        <v>45</v>
      </c>
      <c r="B23" s="316" t="s">
        <v>382</v>
      </c>
      <c r="C23" s="316"/>
      <c r="D23" s="316"/>
      <c r="E23" s="315" t="s">
        <v>15</v>
      </c>
      <c r="F23" s="311">
        <f>F9+F10-F14</f>
        <v>1494629.0588000007</v>
      </c>
    </row>
    <row r="24" spans="1:8" ht="44.25" customHeight="1" x14ac:dyDescent="0.25">
      <c r="A24" s="464" t="s">
        <v>46</v>
      </c>
      <c r="B24" s="465"/>
      <c r="C24" s="465"/>
      <c r="D24" s="465"/>
      <c r="E24" s="465"/>
      <c r="F24" s="471"/>
    </row>
    <row r="25" spans="1:8" ht="23.25" customHeight="1" x14ac:dyDescent="0.25">
      <c r="A25" s="279" t="s">
        <v>47</v>
      </c>
      <c r="B25" s="310" t="s">
        <v>48</v>
      </c>
      <c r="C25" s="356"/>
      <c r="D25" s="356"/>
      <c r="E25" s="356"/>
      <c r="F25" s="357"/>
    </row>
    <row r="26" spans="1:8" ht="19.5" customHeight="1" x14ac:dyDescent="0.25">
      <c r="A26" s="279" t="s">
        <v>49</v>
      </c>
      <c r="B26" s="310" t="s">
        <v>387</v>
      </c>
      <c r="C26" s="356"/>
      <c r="D26" s="439">
        <v>33.380000000000003</v>
      </c>
      <c r="E26" s="356" t="s">
        <v>15</v>
      </c>
      <c r="F26" s="358">
        <f>SUM(F32:F42,F47:F59)</f>
        <v>6944600.8488000017</v>
      </c>
      <c r="H26">
        <v>17337.23</v>
      </c>
    </row>
    <row r="27" spans="1:8" ht="21.75" hidden="1" customHeight="1" x14ac:dyDescent="0.25">
      <c r="A27" s="279" t="s">
        <v>51</v>
      </c>
      <c r="B27" s="310" t="s">
        <v>48</v>
      </c>
      <c r="C27" s="356"/>
      <c r="D27" s="356"/>
      <c r="E27" s="356"/>
      <c r="F27" s="357"/>
    </row>
    <row r="28" spans="1:8" ht="30" hidden="1" customHeight="1" x14ac:dyDescent="0.25">
      <c r="A28" s="279" t="s">
        <v>54</v>
      </c>
      <c r="B28" s="310" t="s">
        <v>415</v>
      </c>
      <c r="C28" s="356"/>
      <c r="D28" s="356"/>
      <c r="E28" s="356"/>
      <c r="F28" s="357"/>
    </row>
    <row r="29" spans="1:8" ht="16.5" hidden="1" customHeight="1" x14ac:dyDescent="0.25">
      <c r="A29" s="279" t="s">
        <v>56</v>
      </c>
      <c r="B29" s="310" t="s">
        <v>416</v>
      </c>
      <c r="C29" s="356"/>
      <c r="D29" s="356"/>
      <c r="E29" s="356"/>
      <c r="F29" s="357"/>
    </row>
    <row r="30" spans="1:8" ht="16.5" hidden="1" customHeight="1" x14ac:dyDescent="0.25">
      <c r="A30" s="279" t="s">
        <v>59</v>
      </c>
      <c r="B30" s="310" t="s">
        <v>417</v>
      </c>
      <c r="C30" s="356"/>
      <c r="D30" s="356"/>
      <c r="E30" s="356"/>
      <c r="F30" s="357"/>
    </row>
    <row r="31" spans="1:8" ht="45.75" hidden="1" customHeight="1" x14ac:dyDescent="0.25">
      <c r="A31" s="280"/>
      <c r="B31" s="304" t="s">
        <v>429</v>
      </c>
      <c r="C31" s="304" t="s">
        <v>430</v>
      </c>
      <c r="D31" s="356" t="s">
        <v>431</v>
      </c>
      <c r="E31" s="356"/>
      <c r="F31" s="337" t="s">
        <v>387</v>
      </c>
    </row>
    <row r="32" spans="1:8" ht="30" customHeight="1" x14ac:dyDescent="0.25">
      <c r="A32" s="279"/>
      <c r="B32" s="338" t="s">
        <v>388</v>
      </c>
      <c r="C32" s="468" t="s">
        <v>419</v>
      </c>
      <c r="D32" s="317">
        <v>3.02</v>
      </c>
      <c r="E32" s="303" t="s">
        <v>15</v>
      </c>
      <c r="F32" s="339">
        <f>$H$26*$H$32*D32</f>
        <v>628301.21519999998</v>
      </c>
      <c r="H32">
        <v>12</v>
      </c>
    </row>
    <row r="33" spans="1:6" x14ac:dyDescent="0.25">
      <c r="A33" s="279"/>
      <c r="B33" s="338" t="s">
        <v>389</v>
      </c>
      <c r="C33" s="468"/>
      <c r="D33" s="317"/>
      <c r="E33" s="303" t="s">
        <v>15</v>
      </c>
      <c r="F33" s="339">
        <f t="shared" ref="F33:F59" si="0">$H$26*$H$32*D33</f>
        <v>0</v>
      </c>
    </row>
    <row r="34" spans="1:6" x14ac:dyDescent="0.25">
      <c r="A34" s="279"/>
      <c r="B34" s="310" t="s">
        <v>390</v>
      </c>
      <c r="C34" s="468"/>
      <c r="D34" s="317">
        <v>0.35</v>
      </c>
      <c r="E34" s="303" t="s">
        <v>15</v>
      </c>
      <c r="F34" s="339">
        <f t="shared" si="0"/>
        <v>72816.365999999995</v>
      </c>
    </row>
    <row r="35" spans="1:6" x14ac:dyDescent="0.25">
      <c r="A35" s="279"/>
      <c r="B35" s="310" t="s">
        <v>391</v>
      </c>
      <c r="C35" s="468"/>
      <c r="D35" s="317">
        <v>0.06</v>
      </c>
      <c r="E35" s="303" t="s">
        <v>15</v>
      </c>
      <c r="F35" s="339">
        <f t="shared" si="0"/>
        <v>12482.8056</v>
      </c>
    </row>
    <row r="36" spans="1:6" x14ac:dyDescent="0.25">
      <c r="A36" s="279"/>
      <c r="B36" s="310" t="s">
        <v>392</v>
      </c>
      <c r="C36" s="310" t="s">
        <v>418</v>
      </c>
      <c r="D36" s="317">
        <v>1.49</v>
      </c>
      <c r="E36" s="303" t="s">
        <v>15</v>
      </c>
      <c r="F36" s="339">
        <f t="shared" si="0"/>
        <v>309989.67240000004</v>
      </c>
    </row>
    <row r="37" spans="1:6" ht="75" x14ac:dyDescent="0.25">
      <c r="A37" s="279"/>
      <c r="B37" s="310" t="s">
        <v>393</v>
      </c>
      <c r="C37" s="310" t="s">
        <v>424</v>
      </c>
      <c r="D37" s="317">
        <v>0.17</v>
      </c>
      <c r="E37" s="303" t="s">
        <v>15</v>
      </c>
      <c r="F37" s="339">
        <f t="shared" si="0"/>
        <v>35367.949200000003</v>
      </c>
    </row>
    <row r="38" spans="1:6" ht="30" x14ac:dyDescent="0.25">
      <c r="A38" s="279"/>
      <c r="B38" s="310" t="s">
        <v>394</v>
      </c>
      <c r="C38" s="310" t="s">
        <v>425</v>
      </c>
      <c r="D38" s="317">
        <v>0.68</v>
      </c>
      <c r="E38" s="303" t="s">
        <v>15</v>
      </c>
      <c r="F38" s="339">
        <f t="shared" si="0"/>
        <v>141471.79680000001</v>
      </c>
    </row>
    <row r="39" spans="1:6" ht="30" customHeight="1" x14ac:dyDescent="0.25">
      <c r="A39" s="279"/>
      <c r="B39" s="338" t="s">
        <v>395</v>
      </c>
      <c r="C39" s="468" t="s">
        <v>426</v>
      </c>
      <c r="D39" s="317">
        <v>2.0299999999999998</v>
      </c>
      <c r="E39" s="303" t="s">
        <v>15</v>
      </c>
      <c r="F39" s="339">
        <f t="shared" si="0"/>
        <v>422334.9228</v>
      </c>
    </row>
    <row r="40" spans="1:6" ht="30" x14ac:dyDescent="0.25">
      <c r="A40" s="279"/>
      <c r="B40" s="310" t="s">
        <v>396</v>
      </c>
      <c r="C40" s="468"/>
      <c r="D40" s="317">
        <v>1.3</v>
      </c>
      <c r="E40" s="303" t="s">
        <v>15</v>
      </c>
      <c r="F40" s="339">
        <f t="shared" si="0"/>
        <v>270460.788</v>
      </c>
    </row>
    <row r="41" spans="1:6" ht="26.25" x14ac:dyDescent="0.25">
      <c r="A41" s="279"/>
      <c r="B41" s="338" t="s">
        <v>397</v>
      </c>
      <c r="C41" s="468"/>
      <c r="D41" s="317">
        <v>0.65</v>
      </c>
      <c r="E41" s="303" t="s">
        <v>15</v>
      </c>
      <c r="F41" s="339">
        <f t="shared" si="0"/>
        <v>135230.394</v>
      </c>
    </row>
    <row r="42" spans="1:6" ht="26.25" x14ac:dyDescent="0.25">
      <c r="A42" s="279"/>
      <c r="B42" s="359" t="s">
        <v>398</v>
      </c>
      <c r="C42" s="468"/>
      <c r="D42" s="317">
        <v>0.37</v>
      </c>
      <c r="E42" s="303" t="s">
        <v>15</v>
      </c>
      <c r="F42" s="339">
        <f>SUM(F43:F46)</f>
        <v>76977.301200000002</v>
      </c>
    </row>
    <row r="43" spans="1:6" x14ac:dyDescent="0.25">
      <c r="A43" s="279"/>
      <c r="B43" s="338" t="s">
        <v>399</v>
      </c>
      <c r="C43" s="310"/>
      <c r="D43" s="317">
        <v>7.0000000000000007E-2</v>
      </c>
      <c r="E43" s="303" t="s">
        <v>15</v>
      </c>
      <c r="F43" s="339">
        <f t="shared" si="0"/>
        <v>14563.273200000001</v>
      </c>
    </row>
    <row r="44" spans="1:6" x14ac:dyDescent="0.25">
      <c r="A44" s="279"/>
      <c r="B44" s="338" t="s">
        <v>400</v>
      </c>
      <c r="C44" s="310"/>
      <c r="D44" s="317"/>
      <c r="E44" s="303" t="s">
        <v>15</v>
      </c>
      <c r="F44" s="339">
        <f t="shared" si="0"/>
        <v>0</v>
      </c>
    </row>
    <row r="45" spans="1:6" x14ac:dyDescent="0.25">
      <c r="A45" s="279"/>
      <c r="B45" s="338" t="s">
        <v>401</v>
      </c>
      <c r="C45" s="310"/>
      <c r="D45" s="317">
        <v>0.25</v>
      </c>
      <c r="E45" s="303" t="s">
        <v>15</v>
      </c>
      <c r="F45" s="339">
        <f t="shared" si="0"/>
        <v>52011.69</v>
      </c>
    </row>
    <row r="46" spans="1:6" x14ac:dyDescent="0.25">
      <c r="A46" s="279"/>
      <c r="B46" s="338" t="s">
        <v>402</v>
      </c>
      <c r="C46" s="310"/>
      <c r="D46" s="317">
        <v>0.05</v>
      </c>
      <c r="E46" s="303" t="s">
        <v>15</v>
      </c>
      <c r="F46" s="339">
        <f t="shared" si="0"/>
        <v>10402.338000000002</v>
      </c>
    </row>
    <row r="47" spans="1:6" ht="30" customHeight="1" x14ac:dyDescent="0.25">
      <c r="A47" s="279"/>
      <c r="B47" s="338" t="s">
        <v>403</v>
      </c>
      <c r="C47" s="468" t="s">
        <v>427</v>
      </c>
      <c r="D47" s="317">
        <v>0.28000000000000003</v>
      </c>
      <c r="E47" s="303" t="s">
        <v>15</v>
      </c>
      <c r="F47" s="339">
        <f t="shared" si="0"/>
        <v>58253.092800000006</v>
      </c>
    </row>
    <row r="48" spans="1:6" ht="28.5" customHeight="1" x14ac:dyDescent="0.25">
      <c r="A48" s="279"/>
      <c r="B48" s="310" t="s">
        <v>404</v>
      </c>
      <c r="C48" s="468"/>
      <c r="D48" s="317">
        <v>0.23</v>
      </c>
      <c r="E48" s="303" t="s">
        <v>15</v>
      </c>
      <c r="F48" s="339">
        <f t="shared" si="0"/>
        <v>47850.754800000002</v>
      </c>
    </row>
    <row r="49" spans="1:6" ht="30" x14ac:dyDescent="0.25">
      <c r="A49" s="279"/>
      <c r="B49" s="310" t="s">
        <v>405</v>
      </c>
      <c r="C49" s="468"/>
      <c r="D49" s="317">
        <v>0.2</v>
      </c>
      <c r="E49" s="303" t="s">
        <v>15</v>
      </c>
      <c r="F49" s="339">
        <f t="shared" si="0"/>
        <v>41609.352000000006</v>
      </c>
    </row>
    <row r="50" spans="1:6" ht="30" x14ac:dyDescent="0.25">
      <c r="A50" s="279"/>
      <c r="B50" s="338" t="s">
        <v>406</v>
      </c>
      <c r="C50" s="310" t="s">
        <v>428</v>
      </c>
      <c r="D50" s="317">
        <v>6.53</v>
      </c>
      <c r="E50" s="303" t="s">
        <v>15</v>
      </c>
      <c r="F50" s="339">
        <f t="shared" si="0"/>
        <v>1358545.3428000002</v>
      </c>
    </row>
    <row r="51" spans="1:6" ht="30" x14ac:dyDescent="0.25">
      <c r="A51" s="279"/>
      <c r="B51" s="310" t="s">
        <v>407</v>
      </c>
      <c r="C51" s="310" t="s">
        <v>422</v>
      </c>
      <c r="D51" s="317">
        <v>6.32</v>
      </c>
      <c r="E51" s="303" t="s">
        <v>15</v>
      </c>
      <c r="F51" s="339">
        <f t="shared" si="0"/>
        <v>1314855.5232000002</v>
      </c>
    </row>
    <row r="52" spans="1:6" x14ac:dyDescent="0.25">
      <c r="A52" s="279"/>
      <c r="B52" s="338" t="s">
        <v>408</v>
      </c>
      <c r="C52" s="310" t="s">
        <v>422</v>
      </c>
      <c r="D52" s="317">
        <v>1.94</v>
      </c>
      <c r="E52" s="303" t="s">
        <v>15</v>
      </c>
      <c r="F52" s="339">
        <f t="shared" si="0"/>
        <v>403610.7144</v>
      </c>
    </row>
    <row r="53" spans="1:6" ht="26.25" x14ac:dyDescent="0.25">
      <c r="A53" s="279"/>
      <c r="B53" s="338" t="s">
        <v>409</v>
      </c>
      <c r="C53" s="310" t="s">
        <v>422</v>
      </c>
      <c r="D53" s="317">
        <v>1.5</v>
      </c>
      <c r="E53" s="303" t="s">
        <v>15</v>
      </c>
      <c r="F53" s="339">
        <f t="shared" si="0"/>
        <v>312070.14</v>
      </c>
    </row>
    <row r="54" spans="1:6" ht="51" x14ac:dyDescent="0.25">
      <c r="A54" s="279"/>
      <c r="B54" s="360" t="s">
        <v>410</v>
      </c>
      <c r="C54" s="310" t="s">
        <v>422</v>
      </c>
      <c r="D54" s="317">
        <v>0.44</v>
      </c>
      <c r="E54" s="303" t="s">
        <v>15</v>
      </c>
      <c r="F54" s="339">
        <f t="shared" si="0"/>
        <v>91540.574399999998</v>
      </c>
    </row>
    <row r="55" spans="1:6" ht="26.25" x14ac:dyDescent="0.25">
      <c r="A55" s="279"/>
      <c r="B55" s="338" t="s">
        <v>411</v>
      </c>
      <c r="C55" s="310" t="s">
        <v>422</v>
      </c>
      <c r="D55" s="317"/>
      <c r="E55" s="303" t="s">
        <v>15</v>
      </c>
      <c r="F55" s="339">
        <f>D55*H26*6</f>
        <v>0</v>
      </c>
    </row>
    <row r="56" spans="1:6" ht="39" x14ac:dyDescent="0.25">
      <c r="A56" s="279"/>
      <c r="B56" s="361" t="s">
        <v>412</v>
      </c>
      <c r="C56" s="310" t="s">
        <v>428</v>
      </c>
      <c r="D56" s="317">
        <v>0.19</v>
      </c>
      <c r="E56" s="303" t="s">
        <v>15</v>
      </c>
      <c r="F56" s="339">
        <f t="shared" si="0"/>
        <v>39528.884400000003</v>
      </c>
    </row>
    <row r="57" spans="1:6" ht="39" x14ac:dyDescent="0.25">
      <c r="A57" s="279"/>
      <c r="B57" s="361" t="s">
        <v>432</v>
      </c>
      <c r="C57" s="310"/>
      <c r="D57" s="317">
        <v>0.94</v>
      </c>
      <c r="E57" s="303" t="s">
        <v>15</v>
      </c>
      <c r="F57" s="339">
        <f t="shared" si="0"/>
        <v>195563.95439999999</v>
      </c>
    </row>
    <row r="58" spans="1:6" ht="26.25" x14ac:dyDescent="0.25">
      <c r="A58" s="279"/>
      <c r="B58" s="338" t="s">
        <v>413</v>
      </c>
      <c r="C58" s="310" t="s">
        <v>423</v>
      </c>
      <c r="D58" s="317">
        <v>1.28</v>
      </c>
      <c r="E58" s="303" t="s">
        <v>15</v>
      </c>
      <c r="F58" s="339">
        <f t="shared" si="0"/>
        <v>266299.85279999999</v>
      </c>
    </row>
    <row r="59" spans="1:6" s="278" customFormat="1" ht="27" thickBot="1" x14ac:dyDescent="0.3">
      <c r="A59" s="281"/>
      <c r="B59" s="362" t="s">
        <v>414</v>
      </c>
      <c r="C59" s="353" t="s">
        <v>418</v>
      </c>
      <c r="D59" s="354">
        <v>3.41</v>
      </c>
      <c r="E59" s="355" t="s">
        <v>15</v>
      </c>
      <c r="F59" s="339">
        <f t="shared" si="0"/>
        <v>709439.45160000003</v>
      </c>
    </row>
    <row r="60" spans="1:6" ht="30" customHeight="1" x14ac:dyDescent="0.25">
      <c r="A60" s="444" t="s">
        <v>53</v>
      </c>
      <c r="B60" s="444"/>
      <c r="C60" s="444"/>
      <c r="D60" s="444"/>
      <c r="E60" s="444"/>
      <c r="F60" s="444"/>
    </row>
    <row r="61" spans="1:6" x14ac:dyDescent="0.25">
      <c r="A61" s="4" t="s">
        <v>61</v>
      </c>
      <c r="B61" s="5" t="s">
        <v>55</v>
      </c>
      <c r="C61" s="5"/>
      <c r="D61" s="5"/>
      <c r="E61" s="4" t="s">
        <v>58</v>
      </c>
      <c r="F61" s="294">
        <v>0</v>
      </c>
    </row>
    <row r="62" spans="1:6" x14ac:dyDescent="0.25">
      <c r="A62" s="4" t="s">
        <v>64</v>
      </c>
      <c r="B62" s="5" t="s">
        <v>57</v>
      </c>
      <c r="C62" s="5"/>
      <c r="D62" s="5"/>
      <c r="E62" s="4" t="s">
        <v>58</v>
      </c>
      <c r="F62" s="294">
        <v>0</v>
      </c>
    </row>
    <row r="63" spans="1:6" ht="30" x14ac:dyDescent="0.25">
      <c r="A63" s="4" t="s">
        <v>65</v>
      </c>
      <c r="B63" s="5" t="s">
        <v>60</v>
      </c>
      <c r="C63" s="5"/>
      <c r="D63" s="5"/>
      <c r="E63" s="4" t="s">
        <v>58</v>
      </c>
      <c r="F63" s="294">
        <v>0</v>
      </c>
    </row>
    <row r="64" spans="1:6" x14ac:dyDescent="0.25">
      <c r="A64" s="4" t="s">
        <v>67</v>
      </c>
      <c r="B64" s="5" t="s">
        <v>62</v>
      </c>
      <c r="C64" s="5"/>
      <c r="D64" s="5"/>
      <c r="E64" s="4" t="s">
        <v>15</v>
      </c>
      <c r="F64" s="294">
        <v>0</v>
      </c>
    </row>
    <row r="65" spans="1:7" x14ac:dyDescent="0.25">
      <c r="A65" s="453" t="s">
        <v>436</v>
      </c>
      <c r="B65" s="453"/>
      <c r="C65" s="453"/>
      <c r="D65" s="453"/>
      <c r="E65" s="453"/>
      <c r="F65" s="453"/>
    </row>
    <row r="66" spans="1:7" s="282" customFormat="1" ht="30" x14ac:dyDescent="0.25">
      <c r="A66" s="329" t="s">
        <v>68</v>
      </c>
      <c r="B66" s="329" t="s">
        <v>370</v>
      </c>
      <c r="C66" s="329"/>
      <c r="D66" s="329"/>
      <c r="E66" s="329" t="s">
        <v>15</v>
      </c>
      <c r="F66" s="330">
        <v>0</v>
      </c>
    </row>
    <row r="67" spans="1:7" ht="30" x14ac:dyDescent="0.25">
      <c r="A67" s="303" t="s">
        <v>70</v>
      </c>
      <c r="B67" s="310" t="s">
        <v>104</v>
      </c>
      <c r="C67" s="310"/>
      <c r="D67" s="310"/>
      <c r="E67" s="303" t="s">
        <v>15</v>
      </c>
      <c r="F67" s="320">
        <v>0</v>
      </c>
    </row>
    <row r="68" spans="1:7" ht="30" x14ac:dyDescent="0.25">
      <c r="A68" s="303" t="s">
        <v>71</v>
      </c>
      <c r="B68" s="310" t="s">
        <v>374</v>
      </c>
      <c r="C68" s="310"/>
      <c r="D68" s="310"/>
      <c r="E68" s="303" t="s">
        <v>15</v>
      </c>
      <c r="F68" s="331">
        <v>2886510.23</v>
      </c>
    </row>
    <row r="69" spans="1:7" ht="30" x14ac:dyDescent="0.25">
      <c r="A69" s="303" t="s">
        <v>73</v>
      </c>
      <c r="B69" s="329" t="s">
        <v>381</v>
      </c>
      <c r="C69" s="310"/>
      <c r="D69" s="310"/>
      <c r="E69" s="303" t="s">
        <v>15</v>
      </c>
      <c r="F69" s="320">
        <v>0</v>
      </c>
    </row>
    <row r="70" spans="1:7" ht="30" x14ac:dyDescent="0.25">
      <c r="A70" s="303" t="s">
        <v>74</v>
      </c>
      <c r="B70" s="310" t="s">
        <v>69</v>
      </c>
      <c r="C70" s="310"/>
      <c r="D70" s="310"/>
      <c r="E70" s="303" t="s">
        <v>15</v>
      </c>
      <c r="F70" s="320">
        <v>0</v>
      </c>
    </row>
    <row r="71" spans="1:7" ht="30" x14ac:dyDescent="0.25">
      <c r="A71" s="303" t="s">
        <v>75</v>
      </c>
      <c r="B71" s="310" t="s">
        <v>382</v>
      </c>
      <c r="C71" s="310"/>
      <c r="D71" s="310"/>
      <c r="E71" s="303" t="s">
        <v>15</v>
      </c>
      <c r="F71" s="331">
        <f>F78+F89+F100+F111+F68</f>
        <v>2941531.45</v>
      </c>
    </row>
    <row r="72" spans="1:7" ht="31.5" customHeight="1" x14ac:dyDescent="0.25">
      <c r="A72" s="456" t="s">
        <v>348</v>
      </c>
      <c r="B72" s="456"/>
      <c r="C72" s="456"/>
      <c r="D72" s="456"/>
      <c r="E72" s="456"/>
      <c r="F72" s="456"/>
    </row>
    <row r="73" spans="1:7" ht="36.75" customHeight="1" x14ac:dyDescent="0.25">
      <c r="A73" s="373" t="s">
        <v>78</v>
      </c>
      <c r="B73" s="374" t="s">
        <v>16</v>
      </c>
      <c r="C73" s="374"/>
      <c r="D73" s="374"/>
      <c r="E73" s="373" t="s">
        <v>5</v>
      </c>
      <c r="F73" s="375" t="s">
        <v>315</v>
      </c>
      <c r="G73" s="290">
        <f>F76+F87+F98+F109+F10</f>
        <v>16328645.048799999</v>
      </c>
    </row>
    <row r="74" spans="1:7" x14ac:dyDescent="0.25">
      <c r="A74" s="373" t="s">
        <v>80</v>
      </c>
      <c r="B74" s="374" t="s">
        <v>14</v>
      </c>
      <c r="C74" s="374"/>
      <c r="D74" s="374"/>
      <c r="E74" s="373" t="s">
        <v>5</v>
      </c>
      <c r="F74" s="373" t="s">
        <v>316</v>
      </c>
    </row>
    <row r="75" spans="1:7" x14ac:dyDescent="0.25">
      <c r="A75" s="373" t="s">
        <v>82</v>
      </c>
      <c r="B75" s="374" t="s">
        <v>76</v>
      </c>
      <c r="C75" s="374"/>
      <c r="D75" s="374"/>
      <c r="E75" s="373" t="s">
        <v>77</v>
      </c>
      <c r="F75" s="379">
        <v>844848.49</v>
      </c>
    </row>
    <row r="76" spans="1:7" x14ac:dyDescent="0.25">
      <c r="A76" s="373" t="s">
        <v>84</v>
      </c>
      <c r="B76" s="374" t="s">
        <v>79</v>
      </c>
      <c r="C76" s="374"/>
      <c r="D76" s="374">
        <v>2</v>
      </c>
      <c r="E76" s="373" t="s">
        <v>15</v>
      </c>
      <c r="F76" s="380">
        <v>1689696.99</v>
      </c>
      <c r="G76" s="290">
        <f>F14+F77+F88+F99+F110</f>
        <v>16845391.41</v>
      </c>
    </row>
    <row r="77" spans="1:7" x14ac:dyDescent="0.25">
      <c r="A77" s="373" t="s">
        <v>86</v>
      </c>
      <c r="B77" s="374" t="s">
        <v>81</v>
      </c>
      <c r="C77" s="374"/>
      <c r="D77" s="374"/>
      <c r="E77" s="373" t="s">
        <v>15</v>
      </c>
      <c r="F77" s="381">
        <v>1475508.74</v>
      </c>
    </row>
    <row r="78" spans="1:7" x14ac:dyDescent="0.25">
      <c r="A78" s="373" t="s">
        <v>88</v>
      </c>
      <c r="B78" s="374" t="s">
        <v>83</v>
      </c>
      <c r="C78" s="374"/>
      <c r="D78" s="374"/>
      <c r="E78" s="373" t="s">
        <v>15</v>
      </c>
      <c r="F78" s="382">
        <f>F76-F77</f>
        <v>214188.25</v>
      </c>
    </row>
    <row r="79" spans="1:7" ht="30" x14ac:dyDescent="0.25">
      <c r="A79" s="373" t="s">
        <v>90</v>
      </c>
      <c r="B79" s="374" t="s">
        <v>85</v>
      </c>
      <c r="C79" s="374"/>
      <c r="D79" s="374"/>
      <c r="E79" s="373" t="s">
        <v>15</v>
      </c>
      <c r="F79" s="380">
        <v>1681455.99</v>
      </c>
    </row>
    <row r="80" spans="1:7" ht="30" x14ac:dyDescent="0.25">
      <c r="A80" s="373" t="s">
        <v>93</v>
      </c>
      <c r="B80" s="374" t="s">
        <v>87</v>
      </c>
      <c r="C80" s="374"/>
      <c r="D80" s="374"/>
      <c r="E80" s="373" t="s">
        <v>15</v>
      </c>
      <c r="F80" s="379">
        <v>1513702.26</v>
      </c>
    </row>
    <row r="81" spans="1:6" ht="30" x14ac:dyDescent="0.25">
      <c r="A81" s="373" t="s">
        <v>94</v>
      </c>
      <c r="B81" s="374" t="s">
        <v>89</v>
      </c>
      <c r="C81" s="374"/>
      <c r="D81" s="374"/>
      <c r="E81" s="373" t="s">
        <v>15</v>
      </c>
      <c r="F81" s="379">
        <v>167753.73000000001</v>
      </c>
    </row>
    <row r="82" spans="1:6" ht="45" x14ac:dyDescent="0.25">
      <c r="A82" s="373" t="s">
        <v>95</v>
      </c>
      <c r="B82" s="374" t="s">
        <v>444</v>
      </c>
      <c r="C82" s="374"/>
      <c r="D82" s="374"/>
      <c r="E82" s="373" t="s">
        <v>15</v>
      </c>
      <c r="F82" s="379">
        <v>1213</v>
      </c>
    </row>
    <row r="83" spans="1:6" x14ac:dyDescent="0.25">
      <c r="A83" s="456" t="s">
        <v>72</v>
      </c>
      <c r="B83" s="456"/>
      <c r="C83" s="456"/>
      <c r="D83" s="456"/>
      <c r="E83" s="456"/>
      <c r="F83" s="456"/>
    </row>
    <row r="84" spans="1:6" x14ac:dyDescent="0.25">
      <c r="A84" s="373" t="s">
        <v>78</v>
      </c>
      <c r="B84" s="374" t="s">
        <v>16</v>
      </c>
      <c r="C84" s="374"/>
      <c r="D84" s="374"/>
      <c r="E84" s="373" t="s">
        <v>5</v>
      </c>
      <c r="F84" s="388" t="s">
        <v>332</v>
      </c>
    </row>
    <row r="85" spans="1:6" x14ac:dyDescent="0.25">
      <c r="A85" s="373" t="s">
        <v>80</v>
      </c>
      <c r="B85" s="374" t="s">
        <v>14</v>
      </c>
      <c r="C85" s="374"/>
      <c r="D85" s="374"/>
      <c r="E85" s="373" t="s">
        <v>5</v>
      </c>
      <c r="F85" s="388" t="s">
        <v>331</v>
      </c>
    </row>
    <row r="86" spans="1:6" x14ac:dyDescent="0.25">
      <c r="A86" s="373" t="s">
        <v>82</v>
      </c>
      <c r="B86" s="374" t="s">
        <v>76</v>
      </c>
      <c r="C86" s="374"/>
      <c r="D86" s="374"/>
      <c r="E86" s="373" t="s">
        <v>77</v>
      </c>
      <c r="F86" s="376">
        <v>22330</v>
      </c>
    </row>
    <row r="87" spans="1:6" x14ac:dyDescent="0.25">
      <c r="A87" s="373" t="s">
        <v>84</v>
      </c>
      <c r="B87" s="374" t="s">
        <v>79</v>
      </c>
      <c r="C87" s="374"/>
      <c r="D87" s="374">
        <v>47.95</v>
      </c>
      <c r="E87" s="373" t="s">
        <v>15</v>
      </c>
      <c r="F87" s="378">
        <v>1626014.61</v>
      </c>
    </row>
    <row r="88" spans="1:6" x14ac:dyDescent="0.25">
      <c r="A88" s="373" t="s">
        <v>86</v>
      </c>
      <c r="B88" s="374" t="s">
        <v>81</v>
      </c>
      <c r="C88" s="374"/>
      <c r="D88" s="374"/>
      <c r="E88" s="373" t="s">
        <v>15</v>
      </c>
      <c r="F88" s="377">
        <v>1646064.85</v>
      </c>
    </row>
    <row r="89" spans="1:6" x14ac:dyDescent="0.25">
      <c r="A89" s="373" t="s">
        <v>88</v>
      </c>
      <c r="B89" s="374" t="s">
        <v>83</v>
      </c>
      <c r="C89" s="374"/>
      <c r="D89" s="374"/>
      <c r="E89" s="373" t="s">
        <v>15</v>
      </c>
      <c r="F89" s="378">
        <f>F87-F88</f>
        <v>-20050.239999999991</v>
      </c>
    </row>
    <row r="90" spans="1:6" ht="30" x14ac:dyDescent="0.25">
      <c r="A90" s="373" t="s">
        <v>90</v>
      </c>
      <c r="B90" s="374" t="s">
        <v>85</v>
      </c>
      <c r="C90" s="374"/>
      <c r="D90" s="374"/>
      <c r="E90" s="373" t="s">
        <v>15</v>
      </c>
      <c r="F90" s="389">
        <v>1582896.56</v>
      </c>
    </row>
    <row r="91" spans="1:6" ht="30" x14ac:dyDescent="0.25">
      <c r="A91" s="373" t="s">
        <v>93</v>
      </c>
      <c r="B91" s="374" t="s">
        <v>87</v>
      </c>
      <c r="C91" s="374"/>
      <c r="D91" s="374"/>
      <c r="E91" s="373" t="s">
        <v>15</v>
      </c>
      <c r="F91" s="376">
        <v>1179258.9099999999</v>
      </c>
    </row>
    <row r="92" spans="1:6" ht="30" x14ac:dyDescent="0.25">
      <c r="A92" s="373" t="s">
        <v>94</v>
      </c>
      <c r="B92" s="374" t="s">
        <v>89</v>
      </c>
      <c r="C92" s="374"/>
      <c r="D92" s="374"/>
      <c r="E92" s="373" t="s">
        <v>15</v>
      </c>
      <c r="F92" s="376"/>
    </row>
    <row r="93" spans="1:6" ht="30" customHeight="1" x14ac:dyDescent="0.25">
      <c r="A93" s="373" t="s">
        <v>95</v>
      </c>
      <c r="B93" s="374" t="s">
        <v>444</v>
      </c>
      <c r="C93" s="374"/>
      <c r="D93" s="374"/>
      <c r="E93" s="373" t="s">
        <v>15</v>
      </c>
      <c r="F93" s="376">
        <v>0</v>
      </c>
    </row>
    <row r="94" spans="1:6" x14ac:dyDescent="0.25">
      <c r="A94" s="453" t="s">
        <v>72</v>
      </c>
      <c r="B94" s="453"/>
      <c r="C94" s="453"/>
      <c r="D94" s="453"/>
      <c r="E94" s="453"/>
      <c r="F94" s="453"/>
    </row>
    <row r="95" spans="1:6" x14ac:dyDescent="0.25">
      <c r="A95" s="303" t="s">
        <v>78</v>
      </c>
      <c r="B95" s="310" t="s">
        <v>16</v>
      </c>
      <c r="C95" s="310"/>
      <c r="D95" s="310"/>
      <c r="E95" s="303" t="s">
        <v>5</v>
      </c>
      <c r="F95" s="319" t="s">
        <v>342</v>
      </c>
    </row>
    <row r="96" spans="1:6" x14ac:dyDescent="0.25">
      <c r="A96" s="303" t="s">
        <v>80</v>
      </c>
      <c r="B96" s="310" t="s">
        <v>14</v>
      </c>
      <c r="C96" s="310"/>
      <c r="D96" s="310"/>
      <c r="E96" s="303" t="s">
        <v>5</v>
      </c>
      <c r="F96" s="319" t="s">
        <v>331</v>
      </c>
    </row>
    <row r="97" spans="1:6" x14ac:dyDescent="0.25">
      <c r="A97" s="303" t="s">
        <v>82</v>
      </c>
      <c r="B97" s="310" t="s">
        <v>76</v>
      </c>
      <c r="C97" s="310"/>
      <c r="D97" s="310"/>
      <c r="E97" s="303" t="s">
        <v>77</v>
      </c>
      <c r="F97" s="320">
        <v>32613</v>
      </c>
    </row>
    <row r="98" spans="1:6" x14ac:dyDescent="0.25">
      <c r="A98" s="303" t="s">
        <v>84</v>
      </c>
      <c r="B98" s="310" t="s">
        <v>79</v>
      </c>
      <c r="C98" s="310"/>
      <c r="D98" s="310">
        <v>52.02</v>
      </c>
      <c r="E98" s="303" t="s">
        <v>15</v>
      </c>
      <c r="F98" s="331">
        <v>1696530.84</v>
      </c>
    </row>
    <row r="99" spans="1:6" x14ac:dyDescent="0.25">
      <c r="A99" s="303" t="s">
        <v>86</v>
      </c>
      <c r="B99" s="310" t="s">
        <v>81</v>
      </c>
      <c r="C99" s="310"/>
      <c r="D99" s="310"/>
      <c r="E99" s="303" t="s">
        <v>15</v>
      </c>
      <c r="F99" s="394">
        <v>1705561.17</v>
      </c>
    </row>
    <row r="100" spans="1:6" x14ac:dyDescent="0.25">
      <c r="A100" s="303" t="s">
        <v>88</v>
      </c>
      <c r="B100" s="310" t="s">
        <v>83</v>
      </c>
      <c r="C100" s="310"/>
      <c r="D100" s="310"/>
      <c r="E100" s="303" t="s">
        <v>15</v>
      </c>
      <c r="F100" s="331">
        <f>F98-F99</f>
        <v>-9030.3299999998417</v>
      </c>
    </row>
    <row r="101" spans="1:6" ht="30" x14ac:dyDescent="0.25">
      <c r="A101" s="303" t="s">
        <v>90</v>
      </c>
      <c r="B101" s="310" t="s">
        <v>85</v>
      </c>
      <c r="C101" s="310"/>
      <c r="D101" s="310"/>
      <c r="E101" s="303" t="s">
        <v>15</v>
      </c>
      <c r="F101" s="320">
        <v>1687267.3</v>
      </c>
    </row>
    <row r="102" spans="1:6" ht="30" x14ac:dyDescent="0.25">
      <c r="A102" s="303" t="s">
        <v>93</v>
      </c>
      <c r="B102" s="310" t="s">
        <v>87</v>
      </c>
      <c r="C102" s="310"/>
      <c r="D102" s="310"/>
      <c r="E102" s="303" t="s">
        <v>15</v>
      </c>
      <c r="F102" s="320">
        <v>1277530.49</v>
      </c>
    </row>
    <row r="103" spans="1:6" ht="30" x14ac:dyDescent="0.25">
      <c r="A103" s="303" t="s">
        <v>94</v>
      </c>
      <c r="B103" s="310" t="s">
        <v>89</v>
      </c>
      <c r="C103" s="310"/>
      <c r="D103" s="310"/>
      <c r="E103" s="303" t="s">
        <v>15</v>
      </c>
      <c r="F103" s="320"/>
    </row>
    <row r="104" spans="1:6" ht="45" x14ac:dyDescent="0.25">
      <c r="A104" s="303" t="s">
        <v>95</v>
      </c>
      <c r="B104" s="310" t="s">
        <v>444</v>
      </c>
      <c r="C104" s="310"/>
      <c r="D104" s="310"/>
      <c r="E104" s="303" t="s">
        <v>15</v>
      </c>
      <c r="F104" s="320">
        <v>0</v>
      </c>
    </row>
    <row r="105" spans="1:6" x14ac:dyDescent="0.25">
      <c r="A105" s="453" t="s">
        <v>72</v>
      </c>
      <c r="B105" s="453"/>
      <c r="C105" s="453"/>
      <c r="D105" s="453"/>
      <c r="E105" s="453"/>
      <c r="F105" s="453"/>
    </row>
    <row r="106" spans="1:6" x14ac:dyDescent="0.25">
      <c r="A106" s="303" t="s">
        <v>78</v>
      </c>
      <c r="B106" s="310" t="s">
        <v>16</v>
      </c>
      <c r="C106" s="310"/>
      <c r="D106" s="310"/>
      <c r="E106" s="303" t="s">
        <v>5</v>
      </c>
      <c r="F106" s="326" t="s">
        <v>340</v>
      </c>
    </row>
    <row r="107" spans="1:6" x14ac:dyDescent="0.25">
      <c r="A107" s="303" t="s">
        <v>80</v>
      </c>
      <c r="B107" s="310" t="s">
        <v>14</v>
      </c>
      <c r="C107" s="310"/>
      <c r="D107" s="310"/>
      <c r="E107" s="303" t="s">
        <v>5</v>
      </c>
      <c r="F107" s="326" t="s">
        <v>341</v>
      </c>
    </row>
    <row r="108" spans="1:6" x14ac:dyDescent="0.25">
      <c r="A108" s="303" t="s">
        <v>82</v>
      </c>
      <c r="B108" s="310" t="s">
        <v>76</v>
      </c>
      <c r="C108" s="310"/>
      <c r="D108" s="310"/>
      <c r="E108" s="303" t="s">
        <v>77</v>
      </c>
      <c r="F108" s="311">
        <v>2360.23</v>
      </c>
    </row>
    <row r="109" spans="1:6" x14ac:dyDescent="0.25">
      <c r="A109" s="303" t="s">
        <v>84</v>
      </c>
      <c r="B109" s="310" t="s">
        <v>79</v>
      </c>
      <c r="C109" s="310"/>
      <c r="D109" s="310">
        <v>1852.28</v>
      </c>
      <c r="E109" s="303" t="s">
        <v>15</v>
      </c>
      <c r="F109" s="327">
        <v>4371801.76</v>
      </c>
    </row>
    <row r="110" spans="1:6" x14ac:dyDescent="0.25">
      <c r="A110" s="303" t="s">
        <v>86</v>
      </c>
      <c r="B110" s="310" t="s">
        <v>81</v>
      </c>
      <c r="C110" s="310"/>
      <c r="D110" s="310"/>
      <c r="E110" s="303" t="s">
        <v>15</v>
      </c>
      <c r="F110" s="396">
        <v>4501888.22</v>
      </c>
    </row>
    <row r="111" spans="1:6" x14ac:dyDescent="0.25">
      <c r="A111" s="303" t="s">
        <v>88</v>
      </c>
      <c r="B111" s="310" t="s">
        <v>83</v>
      </c>
      <c r="C111" s="310"/>
      <c r="D111" s="310"/>
      <c r="E111" s="303" t="s">
        <v>15</v>
      </c>
      <c r="F111" s="327">
        <f>F109-F110</f>
        <v>-130086.45999999996</v>
      </c>
    </row>
    <row r="112" spans="1:6" ht="30" x14ac:dyDescent="0.25">
      <c r="A112" s="303" t="s">
        <v>90</v>
      </c>
      <c r="B112" s="310" t="s">
        <v>85</v>
      </c>
      <c r="C112" s="310"/>
      <c r="D112" s="310"/>
      <c r="E112" s="303" t="s">
        <v>15</v>
      </c>
      <c r="F112" s="311">
        <v>4374258.67</v>
      </c>
    </row>
    <row r="113" spans="1:6" ht="30" x14ac:dyDescent="0.25">
      <c r="A113" s="303" t="s">
        <v>93</v>
      </c>
      <c r="B113" s="310" t="s">
        <v>87</v>
      </c>
      <c r="C113" s="310"/>
      <c r="D113" s="310"/>
      <c r="E113" s="303" t="s">
        <v>15</v>
      </c>
      <c r="F113" s="311">
        <v>3746292.51</v>
      </c>
    </row>
    <row r="114" spans="1:6" ht="30" x14ac:dyDescent="0.25">
      <c r="A114" s="303" t="s">
        <v>94</v>
      </c>
      <c r="B114" s="310" t="s">
        <v>89</v>
      </c>
      <c r="C114" s="310"/>
      <c r="D114" s="310"/>
      <c r="E114" s="303" t="s">
        <v>15</v>
      </c>
      <c r="F114" s="311">
        <v>627966.16</v>
      </c>
    </row>
    <row r="115" spans="1:6" ht="45" x14ac:dyDescent="0.25">
      <c r="A115" s="303" t="s">
        <v>95</v>
      </c>
      <c r="B115" s="310" t="s">
        <v>444</v>
      </c>
      <c r="C115" s="310"/>
      <c r="D115" s="310"/>
      <c r="E115" s="303" t="s">
        <v>15</v>
      </c>
      <c r="F115" s="320">
        <v>164010.20000000001</v>
      </c>
    </row>
    <row r="116" spans="1:6" x14ac:dyDescent="0.25">
      <c r="A116" s="4"/>
      <c r="B116" s="5"/>
      <c r="C116" s="5"/>
      <c r="D116" s="5"/>
      <c r="E116" s="4"/>
      <c r="F116" s="4"/>
    </row>
    <row r="117" spans="1:6" ht="27.75" customHeight="1" x14ac:dyDescent="0.25">
      <c r="A117" s="444" t="s">
        <v>92</v>
      </c>
      <c r="B117" s="444"/>
      <c r="C117" s="444"/>
      <c r="D117" s="444"/>
      <c r="E117" s="444"/>
      <c r="F117" s="444"/>
    </row>
    <row r="118" spans="1:6" x14ac:dyDescent="0.25">
      <c r="A118" s="4" t="s">
        <v>96</v>
      </c>
      <c r="B118" s="5" t="s">
        <v>55</v>
      </c>
      <c r="C118" s="5"/>
      <c r="D118" s="5"/>
      <c r="E118" s="4" t="s">
        <v>58</v>
      </c>
      <c r="F118" s="294">
        <v>0</v>
      </c>
    </row>
    <row r="119" spans="1:6" x14ac:dyDescent="0.25">
      <c r="A119" s="4" t="s">
        <v>98</v>
      </c>
      <c r="B119" s="5" t="s">
        <v>57</v>
      </c>
      <c r="C119" s="5"/>
      <c r="D119" s="5"/>
      <c r="E119" s="4" t="s">
        <v>58</v>
      </c>
      <c r="F119" s="294">
        <v>0</v>
      </c>
    </row>
    <row r="120" spans="1:6" ht="30" x14ac:dyDescent="0.25">
      <c r="A120" s="4" t="s">
        <v>100</v>
      </c>
      <c r="B120" s="5" t="s">
        <v>60</v>
      </c>
      <c r="C120" s="5"/>
      <c r="D120" s="5"/>
      <c r="E120" s="4" t="s">
        <v>58</v>
      </c>
      <c r="F120" s="294">
        <v>0</v>
      </c>
    </row>
    <row r="121" spans="1:6" x14ac:dyDescent="0.25">
      <c r="A121" s="4" t="s">
        <v>102</v>
      </c>
      <c r="B121" s="5" t="s">
        <v>62</v>
      </c>
      <c r="C121" s="5"/>
      <c r="D121" s="5"/>
      <c r="E121" s="4" t="s">
        <v>15</v>
      </c>
      <c r="F121" s="294">
        <v>0</v>
      </c>
    </row>
    <row r="122" spans="1:6" ht="26.25" customHeight="1" x14ac:dyDescent="0.25">
      <c r="A122" s="444" t="s">
        <v>97</v>
      </c>
      <c r="B122" s="444"/>
      <c r="C122" s="444"/>
      <c r="D122" s="444"/>
      <c r="E122" s="444"/>
      <c r="F122" s="444"/>
    </row>
    <row r="123" spans="1:6" ht="30" x14ac:dyDescent="0.25">
      <c r="A123" s="4" t="s">
        <v>446</v>
      </c>
      <c r="B123" s="5" t="s">
        <v>99</v>
      </c>
      <c r="C123" s="5"/>
      <c r="D123" s="5"/>
      <c r="E123" s="4" t="s">
        <v>58</v>
      </c>
      <c r="F123" s="292"/>
    </row>
    <row r="124" spans="1:6" x14ac:dyDescent="0.25">
      <c r="A124" s="4" t="s">
        <v>447</v>
      </c>
      <c r="B124" s="5" t="s">
        <v>101</v>
      </c>
      <c r="C124" s="5"/>
      <c r="D124" s="5"/>
      <c r="E124" s="4" t="s">
        <v>58</v>
      </c>
      <c r="F124" s="292"/>
    </row>
    <row r="125" spans="1:6" ht="30" x14ac:dyDescent="0.25">
      <c r="A125" s="4" t="s">
        <v>448</v>
      </c>
      <c r="B125" s="5" t="s">
        <v>103</v>
      </c>
      <c r="C125" s="5"/>
      <c r="D125" s="5"/>
      <c r="E125" s="4" t="s">
        <v>15</v>
      </c>
      <c r="F125" s="294"/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</sheetData>
  <mergeCells count="14">
    <mergeCell ref="A94:F94"/>
    <mergeCell ref="A105:F105"/>
    <mergeCell ref="A117:F117"/>
    <mergeCell ref="A122:F122"/>
    <mergeCell ref="A60:F60"/>
    <mergeCell ref="A65:F65"/>
    <mergeCell ref="A72:F72"/>
    <mergeCell ref="A83:F83"/>
    <mergeCell ref="C47:C49"/>
    <mergeCell ref="A1:F1"/>
    <mergeCell ref="A6:F6"/>
    <mergeCell ref="A24:F24"/>
    <mergeCell ref="C32:C35"/>
    <mergeCell ref="C39:C42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8</vt:i4>
      </vt:variant>
    </vt:vector>
  </HeadingPairs>
  <TitlesOfParts>
    <vt:vector size="37" baseType="lpstr">
      <vt:lpstr>горводоканал (2)</vt:lpstr>
      <vt:lpstr>горводоканал</vt:lpstr>
      <vt:lpstr>ГТС 17</vt:lpstr>
      <vt:lpstr>горводоканал </vt:lpstr>
      <vt:lpstr>горводоканал 2017</vt:lpstr>
      <vt:lpstr>ГТС 2017</vt:lpstr>
      <vt:lpstr>30 лет Победы 10 2020</vt:lpstr>
      <vt:lpstr>расчёт на 01.01.2016</vt:lpstr>
      <vt:lpstr>30 лет Победы 41 2020</vt:lpstr>
      <vt:lpstr>Ленина 16 2020</vt:lpstr>
      <vt:lpstr>Ленина 18 2020</vt:lpstr>
      <vt:lpstr>Сибирская 11Б 2020</vt:lpstr>
      <vt:lpstr>Сибирская 15 2020</vt:lpstr>
      <vt:lpstr>Университетская 11 2020</vt:lpstr>
      <vt:lpstr>Лист1</vt:lpstr>
      <vt:lpstr>паспортный стол</vt:lpstr>
      <vt:lpstr>выполнение год</vt:lpstr>
      <vt:lpstr>выполнение год (2)</vt:lpstr>
      <vt:lpstr>содержание</vt:lpstr>
      <vt:lpstr>дератизация</vt:lpstr>
      <vt:lpstr>26 счёт</vt:lpstr>
      <vt:lpstr>зп обслуживание УУ</vt:lpstr>
      <vt:lpstr>ком ресурсы оплата</vt:lpstr>
      <vt:lpstr>90.1 выручка</vt:lpstr>
      <vt:lpstr>30 лет Победы 10 2017</vt:lpstr>
      <vt:lpstr>паспортный стол (2)</vt:lpstr>
      <vt:lpstr>управление содержание</vt:lpstr>
      <vt:lpstr>восток 2017</vt:lpstr>
      <vt:lpstr>Тихий 2</vt:lpstr>
      <vt:lpstr>'выполнение год (2)'!Заголовки_для_печати</vt:lpstr>
      <vt:lpstr>'30 лет Победы 10 2020'!Область_печати</vt:lpstr>
      <vt:lpstr>'30 лет Победы 41 2020'!Область_печати</vt:lpstr>
      <vt:lpstr>'Ленина 16 2020'!Область_печати</vt:lpstr>
      <vt:lpstr>'Ленина 18 2020'!Область_печати</vt:lpstr>
      <vt:lpstr>'Сибирская 11Б 2020'!Область_печати</vt:lpstr>
      <vt:lpstr>'Сибирская 15 2020'!Область_печати</vt:lpstr>
      <vt:lpstr>'Университетская 11 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2021-03-24T07:03:25Z</dcterms:modified>
</cp:coreProperties>
</file>